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<sst xmlns="http://schemas.openxmlformats.org/spreadsheetml/2006/main" count="458" uniqueCount="68">
  <si>
    <r>
      <t>高機 1.0</t>
    </r>
    <r>
      <rPr>
        <sz val="12"/>
        <color indexed="12"/>
        <rFont val="新細明體"/>
        <family val="1"/>
      </rPr>
      <t>★</t>
    </r>
    <r>
      <rPr>
        <b/>
        <sz val="12"/>
        <color indexed="12"/>
        <rFont val="新細明體"/>
        <family val="1"/>
      </rPr>
      <t xml:space="preserve"> 為平標準準度</t>
    </r>
  </si>
  <si>
    <t>全年度</t>
  </si>
  <si>
    <t>獨支</t>
  </si>
  <si>
    <t>統計32期</t>
  </si>
  <si>
    <t>專車</t>
  </si>
  <si>
    <t>連碰三星</t>
  </si>
  <si>
    <t>樂研院會員ID</t>
  </si>
  <si>
    <t>準度</t>
  </si>
  <si>
    <t>中</t>
  </si>
  <si>
    <t>總號</t>
  </si>
  <si>
    <r>
      <t>2</t>
    </r>
    <r>
      <rPr>
        <sz val="10"/>
        <rFont val="細明體"/>
        <family val="3"/>
      </rPr>
      <t>星</t>
    </r>
  </si>
  <si>
    <t>報酬率</t>
  </si>
  <si>
    <r>
      <t>3</t>
    </r>
    <r>
      <rPr>
        <sz val="10"/>
        <rFont val="細明體"/>
        <family val="3"/>
      </rPr>
      <t>星</t>
    </r>
  </si>
  <si>
    <t>期數</t>
  </si>
  <si>
    <t>ET_江</t>
  </si>
  <si>
    <r>
      <t>★</t>
    </r>
    <r>
      <rPr>
        <sz val="11"/>
        <color indexed="10"/>
        <rFont val="Verdana"/>
        <family val="2"/>
      </rPr>
      <t xml:space="preserve"> </t>
    </r>
  </si>
  <si>
    <t xml:space="preserve">★ </t>
  </si>
  <si>
    <t>-</t>
  </si>
  <si>
    <t>二碼</t>
  </si>
  <si>
    <t>統計20期</t>
  </si>
  <si>
    <t>連碰二星</t>
  </si>
  <si>
    <t>-</t>
  </si>
  <si>
    <t>五碼</t>
  </si>
  <si>
    <t>統計12期</t>
  </si>
  <si>
    <t>六碼</t>
  </si>
  <si>
    <t>統計10期</t>
  </si>
  <si>
    <t>樂透星球ID</t>
  </si>
  <si>
    <t>ET-江</t>
  </si>
  <si>
    <t>十碼</t>
  </si>
  <si>
    <t>連碰四星</t>
  </si>
  <si>
    <r>
      <t>4</t>
    </r>
    <r>
      <rPr>
        <sz val="10"/>
        <rFont val="細明體"/>
        <family val="3"/>
      </rPr>
      <t>星</t>
    </r>
  </si>
  <si>
    <t>十二碼</t>
  </si>
  <si>
    <t>十八碼</t>
  </si>
  <si>
    <t>三碼</t>
  </si>
  <si>
    <t>統計16期</t>
  </si>
  <si>
    <t>總獲利</t>
  </si>
  <si>
    <t>本</t>
  </si>
  <si>
    <t>2*3</t>
  </si>
  <si>
    <t>2*1</t>
  </si>
  <si>
    <t>2*0.2</t>
  </si>
  <si>
    <t>3*3</t>
  </si>
  <si>
    <t>3*0.5</t>
  </si>
  <si>
    <t>2*5</t>
  </si>
  <si>
    <t>3*0.5</t>
  </si>
  <si>
    <t>研</t>
  </si>
  <si>
    <t>四碼</t>
  </si>
  <si>
    <t>統計12期</t>
  </si>
  <si>
    <t>準度區間 與 簽注比例表</t>
  </si>
  <si>
    <t>六碼 選1 碰其他33支 (二星)</t>
  </si>
  <si>
    <t>六碼 選2 碰其他33支 (三星)</t>
  </si>
  <si>
    <t>六碼 選3 碰其他33支 (四星)</t>
  </si>
  <si>
    <t>六碼 選3 碰其他33支選2 (五星)</t>
  </si>
  <si>
    <r>
      <t>5</t>
    </r>
    <r>
      <rPr>
        <sz val="10"/>
        <rFont val="細明體"/>
        <family val="3"/>
      </rPr>
      <t>星</t>
    </r>
  </si>
  <si>
    <t>本*1</t>
  </si>
  <si>
    <t>本*1</t>
  </si>
  <si>
    <t>3*1</t>
  </si>
  <si>
    <t>3碼 選1 碰其他36支 (二星)</t>
  </si>
  <si>
    <t>簽注台灣彩券</t>
  </si>
  <si>
    <r>
      <t>3碼 選2 碰30支(</t>
    </r>
    <r>
      <rPr>
        <b/>
        <sz val="11"/>
        <color indexed="10"/>
        <rFont val="新細明體"/>
        <family val="1"/>
      </rPr>
      <t>-6支低機</t>
    </r>
    <r>
      <rPr>
        <sz val="11"/>
        <rFont val="新細明體"/>
        <family val="1"/>
      </rPr>
      <t>) (三星)</t>
    </r>
  </si>
  <si>
    <r>
      <t>2碼 選1 碰31支(</t>
    </r>
    <r>
      <rPr>
        <b/>
        <sz val="11"/>
        <color indexed="10"/>
        <rFont val="新細明體"/>
        <family val="1"/>
      </rPr>
      <t>-6支低機</t>
    </r>
    <r>
      <rPr>
        <sz val="11"/>
        <rFont val="新細明體"/>
        <family val="1"/>
      </rPr>
      <t>) (二星)</t>
    </r>
  </si>
  <si>
    <t>代表在樂透研究院的擂台區有報牌。</t>
  </si>
  <si>
    <t>期數填灰色，代表該期沒有在樂研院擂台區報牌，但有算資料。</t>
  </si>
  <si>
    <t>簽注的資本比例，按照模擬報酬率高低設定，會獲得最好的獲利。</t>
  </si>
  <si>
    <t>●</t>
  </si>
  <si>
    <t>選前3碼 碰其他36支 (四星)</t>
  </si>
  <si>
    <t>選前3碼 碰其他36支選2支 (五星)</t>
  </si>
  <si>
    <t>簽注台灣彩券</t>
  </si>
  <si>
    <t>頭獎以 扣稅640萬計算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</si>
</sst>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&quot;萬&quot;0"/>
    <numFmt numFmtId="178" formatCode="0&quot;萬&quot;0000"/>
  </numFmts>
  <fonts count="30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b/>
      <sz val="12"/>
      <color indexed="12"/>
      <name val="新細明體"/>
      <family val="1"/>
    </font>
    <font>
      <sz val="12"/>
      <color indexed="12"/>
      <name val="新細明體"/>
      <family val="1"/>
    </font>
    <font>
      <b/>
      <sz val="11"/>
      <color indexed="12"/>
      <name val="細明體"/>
      <family val="3"/>
    </font>
    <font>
      <b/>
      <sz val="11"/>
      <color indexed="12"/>
      <name val="Arial"/>
      <family val="2"/>
    </font>
    <font>
      <b/>
      <sz val="12"/>
      <name val="新細明體"/>
      <family val="1"/>
    </font>
    <font>
      <b/>
      <sz val="11"/>
      <name val="細明體"/>
      <family val="3"/>
    </font>
    <font>
      <b/>
      <sz val="11"/>
      <name val="新細明體"/>
      <family val="1"/>
    </font>
    <font>
      <sz val="11"/>
      <name val="細明體"/>
      <family val="3"/>
    </font>
    <font>
      <sz val="11"/>
      <name val="新細明體"/>
      <family val="1"/>
    </font>
    <font>
      <sz val="11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細明體"/>
      <family val="3"/>
    </font>
    <font>
      <sz val="10"/>
      <name val="細明體"/>
      <family val="3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b/>
      <sz val="11"/>
      <color indexed="10"/>
      <name val="Arial"/>
      <family val="2"/>
    </font>
    <font>
      <sz val="11"/>
      <color indexed="10"/>
      <name val="細明體"/>
      <family val="3"/>
    </font>
    <font>
      <sz val="11"/>
      <color indexed="10"/>
      <name val="Verdana"/>
      <family val="2"/>
    </font>
    <font>
      <sz val="11"/>
      <color indexed="8"/>
      <name val="新細明體"/>
      <family val="1"/>
    </font>
    <font>
      <b/>
      <sz val="10"/>
      <color indexed="10"/>
      <name val="細明體"/>
      <family val="3"/>
    </font>
    <font>
      <sz val="10"/>
      <color indexed="10"/>
      <name val="細明體"/>
      <family val="3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10"/>
      <name val="新細明體"/>
      <family val="1"/>
    </font>
    <font>
      <sz val="10"/>
      <name val="新細明體"/>
      <family val="1"/>
    </font>
    <font>
      <b/>
      <sz val="16"/>
      <color indexed="10"/>
      <name val="新細明體"/>
      <family val="1"/>
    </font>
    <font>
      <b/>
      <sz val="10"/>
      <name val="新細明體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7" fillId="3" borderId="1" xfId="0" applyFont="1" applyFill="1" applyBorder="1" applyAlignment="1">
      <alignment horizontal="center"/>
    </xf>
    <xf numFmtId="0" fontId="2" fillId="4" borderId="0" xfId="0" applyFont="1" applyFill="1" applyAlignment="1">
      <alignment vertical="center"/>
    </xf>
    <xf numFmtId="0" fontId="12" fillId="5" borderId="2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7" fillId="0" borderId="3" xfId="20" applyFont="1" applyBorder="1" applyAlignment="1" applyProtection="1">
      <alignment vertical="center"/>
      <protection/>
    </xf>
    <xf numFmtId="176" fontId="18" fillId="2" borderId="5" xfId="0" applyNumberFormat="1" applyFont="1" applyFill="1" applyBorder="1" applyAlignment="1">
      <alignment horizontal="right" wrapText="1"/>
    </xf>
    <xf numFmtId="0" fontId="19" fillId="2" borderId="6" xfId="0" applyFont="1" applyFill="1" applyBorder="1" applyAlignment="1">
      <alignment wrapText="1"/>
    </xf>
    <xf numFmtId="0" fontId="21" fillId="2" borderId="2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9" fontId="11" fillId="2" borderId="2" xfId="0" applyNumberFormat="1" applyFont="1" applyFill="1" applyBorder="1" applyAlignment="1">
      <alignment vertical="center"/>
    </xf>
    <xf numFmtId="176" fontId="22" fillId="2" borderId="7" xfId="0" applyNumberFormat="1" applyFont="1" applyFill="1" applyBorder="1" applyAlignment="1">
      <alignment horizontal="right" wrapText="1"/>
    </xf>
    <xf numFmtId="0" fontId="23" fillId="2" borderId="6" xfId="0" applyFont="1" applyFill="1" applyBorder="1" applyAlignment="1">
      <alignment wrapText="1"/>
    </xf>
    <xf numFmtId="0" fontId="1" fillId="8" borderId="2" xfId="0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4" fillId="10" borderId="2" xfId="0" applyFont="1" applyFill="1" applyBorder="1" applyAlignment="1">
      <alignment horizontal="center" vertical="center" wrapText="1"/>
    </xf>
    <xf numFmtId="0" fontId="25" fillId="11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25" fillId="12" borderId="2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/>
    </xf>
    <xf numFmtId="0" fontId="15" fillId="13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right" vertical="center"/>
    </xf>
    <xf numFmtId="178" fontId="26" fillId="2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 vertical="center"/>
    </xf>
    <xf numFmtId="0" fontId="1" fillId="2" borderId="8" xfId="0" applyFont="1" applyFill="1" applyBorder="1" applyAlignment="1">
      <alignment/>
    </xf>
    <xf numFmtId="0" fontId="27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0" fillId="2" borderId="11" xfId="0" applyFill="1" applyBorder="1" applyAlignment="1">
      <alignment vertical="center"/>
    </xf>
    <xf numFmtId="0" fontId="27" fillId="2" borderId="11" xfId="0" applyFont="1" applyFill="1" applyBorder="1" applyAlignment="1">
      <alignment horizontal="right" vertical="center"/>
    </xf>
    <xf numFmtId="0" fontId="8" fillId="9" borderId="0" xfId="0" applyFont="1" applyFill="1" applyAlignment="1">
      <alignment horizontal="center"/>
    </xf>
    <xf numFmtId="0" fontId="28" fillId="6" borderId="7" xfId="0" applyFont="1" applyFill="1" applyBorder="1" applyAlignment="1">
      <alignment vertical="center"/>
    </xf>
    <xf numFmtId="0" fontId="1" fillId="6" borderId="5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0" fillId="14" borderId="0" xfId="0" applyFill="1" applyAlignment="1">
      <alignment vertical="center"/>
    </xf>
    <xf numFmtId="0" fontId="1" fillId="9" borderId="3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0" fillId="10" borderId="2" xfId="0" applyFont="1" applyFill="1" applyBorder="1" applyAlignment="1">
      <alignment horizontal="right"/>
    </xf>
    <xf numFmtId="0" fontId="10" fillId="9" borderId="2" xfId="0" applyFont="1" applyFill="1" applyBorder="1" applyAlignment="1">
      <alignment horizontal="right"/>
    </xf>
    <xf numFmtId="0" fontId="26" fillId="2" borderId="7" xfId="0" applyFont="1" applyFill="1" applyBorder="1" applyAlignment="1">
      <alignment horizontal="center" wrapText="1"/>
    </xf>
    <xf numFmtId="0" fontId="0" fillId="2" borderId="0" xfId="0" applyFill="1" applyAlignment="1">
      <alignment horizontal="right" vertical="center"/>
    </xf>
    <xf numFmtId="0" fontId="0" fillId="9" borderId="0" xfId="0" applyFill="1" applyAlignment="1">
      <alignment vertical="center"/>
    </xf>
    <xf numFmtId="0" fontId="29" fillId="7" borderId="4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0" fillId="9" borderId="6" xfId="0" applyFill="1" applyBorder="1" applyAlignment="1">
      <alignment horizontal="left"/>
    </xf>
    <xf numFmtId="0" fontId="3" fillId="15" borderId="1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0" fontId="11" fillId="10" borderId="7" xfId="0" applyFont="1" applyFill="1" applyBorder="1" applyAlignment="1">
      <alignment horizontal="left"/>
    </xf>
    <xf numFmtId="0" fontId="0" fillId="10" borderId="5" xfId="0" applyFill="1" applyBorder="1" applyAlignment="1">
      <alignment horizontal="left"/>
    </xf>
    <xf numFmtId="0" fontId="0" fillId="10" borderId="6" xfId="0" applyFill="1" applyBorder="1" applyAlignment="1">
      <alignment horizontal="left"/>
    </xf>
    <xf numFmtId="0" fontId="13" fillId="5" borderId="9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0" fontId="8" fillId="16" borderId="7" xfId="0" applyFont="1" applyFill="1" applyBorder="1" applyAlignment="1">
      <alignment horizontal="center"/>
    </xf>
    <xf numFmtId="0" fontId="9" fillId="16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15" borderId="11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10" borderId="7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11" fillId="6" borderId="7" xfId="0" applyFont="1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11" fillId="6" borderId="7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dxfs count="9">
    <dxf>
      <font>
        <b val="0"/>
        <i val="0"/>
        <color rgb="FFFFFFFF"/>
      </font>
      <fill>
        <patternFill>
          <bgColor rgb="FFFF0000"/>
        </patternFill>
      </fill>
      <border/>
    </dxf>
    <dxf>
      <font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fill>
        <patternFill>
          <bgColor rgb="FFFFFFFF"/>
        </patternFill>
      </fill>
      <border/>
    </dxf>
    <dxf>
      <fill>
        <patternFill>
          <bgColor rgb="FFFFFF99"/>
        </patternFill>
      </fill>
      <border/>
    </dxf>
    <dxf>
      <font>
        <b val="0"/>
        <i val="0"/>
        <color auto="1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otto.arclink.com.tw/NumParse.do?iType=9&amp;action=oneuser&amp;uid=120657&amp;gtype=2" TargetMode="External" /><Relationship Id="rId2" Type="http://schemas.openxmlformats.org/officeDocument/2006/relationships/hyperlink" Target="http://lotto.arclink.com.tw/NumParse.do?iType=9&amp;action=oneuser&amp;uid=120657&amp;gtype=2" TargetMode="External" /><Relationship Id="rId3" Type="http://schemas.openxmlformats.org/officeDocument/2006/relationships/hyperlink" Target="http://lotto.arclink.com.tw/NumParse.do?iType=9&amp;action=oneuser&amp;uid=120657&amp;gtype=2" TargetMode="External" /><Relationship Id="rId4" Type="http://schemas.openxmlformats.org/officeDocument/2006/relationships/hyperlink" Target="http://lotto.arclink.com.tw/NumParse.do?iType=9&amp;action=oneuser&amp;uid=120657&amp;gtype=2" TargetMode="External" /><Relationship Id="rId5" Type="http://schemas.openxmlformats.org/officeDocument/2006/relationships/hyperlink" Target="http://lotto.arclink.com.tw/NumParse.do?iType=9&amp;action=oneuser&amp;uid=120657&amp;gtype=2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6"/>
  <sheetViews>
    <sheetView tabSelected="1" workbookViewId="0" topLeftCell="A1">
      <selection activeCell="Z37" sqref="Z37"/>
    </sheetView>
  </sheetViews>
  <sheetFormatPr defaultColWidth="9.00390625" defaultRowHeight="16.5"/>
  <cols>
    <col min="1" max="1" width="3.375" style="0" customWidth="1"/>
    <col min="2" max="2" width="14.25390625" style="0" customWidth="1"/>
    <col min="3" max="3" width="4.00390625" style="0" customWidth="1"/>
    <col min="4" max="4" width="2.75390625" style="0" customWidth="1"/>
    <col min="5" max="5" width="3.25390625" style="0" customWidth="1"/>
    <col min="6" max="6" width="4.50390625" style="0" customWidth="1"/>
    <col min="7" max="7" width="1.37890625" style="0" customWidth="1"/>
    <col min="8" max="8" width="4.00390625" style="0" customWidth="1"/>
    <col min="9" max="9" width="9.375" style="0" customWidth="1"/>
    <col min="10" max="10" width="1.12109375" style="0" customWidth="1"/>
    <col min="11" max="11" width="4.00390625" style="0" customWidth="1"/>
    <col min="12" max="12" width="9.375" style="0" customWidth="1"/>
    <col min="13" max="13" width="1.12109375" style="0" customWidth="1"/>
    <col min="14" max="14" width="4.00390625" style="0" customWidth="1"/>
    <col min="15" max="15" width="8.75390625" style="0" customWidth="1"/>
    <col min="16" max="16" width="1.12109375" style="0" customWidth="1"/>
    <col min="17" max="17" width="4.00390625" style="0" customWidth="1"/>
    <col min="18" max="18" width="9.375" style="0" customWidth="1"/>
    <col min="19" max="19" width="1.25" style="0" customWidth="1"/>
    <col min="20" max="20" width="4.25390625" style="0" customWidth="1"/>
    <col min="21" max="21" width="2.75390625" style="0" customWidth="1"/>
    <col min="22" max="22" width="3.875" style="0" customWidth="1"/>
    <col min="23" max="23" width="4.375" style="0" customWidth="1"/>
    <col min="24" max="24" width="1.12109375" style="0" customWidth="1"/>
    <col min="25" max="77" width="2.50390625" style="0" customWidth="1"/>
    <col min="78" max="78" width="3.75390625" style="0" customWidth="1"/>
  </cols>
  <sheetData>
    <row r="1" spans="1:78" ht="9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24.75" customHeight="1">
      <c r="A2" s="1"/>
      <c r="B2" s="51" t="s">
        <v>47</v>
      </c>
      <c r="C2" s="52"/>
      <c r="D2" s="52"/>
      <c r="E2" s="52"/>
      <c r="F2" s="52"/>
      <c r="G2" s="5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ht="10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8" ht="16.5">
      <c r="A4" s="1"/>
      <c r="B4" s="84" t="s">
        <v>0</v>
      </c>
      <c r="C4" s="84"/>
      <c r="D4" s="84"/>
      <c r="E4" s="84"/>
      <c r="F4" s="84"/>
      <c r="G4" s="1"/>
      <c r="H4" s="85" t="s">
        <v>1</v>
      </c>
      <c r="I4" s="86"/>
      <c r="J4" s="1"/>
      <c r="K4" s="87" t="s">
        <v>1</v>
      </c>
      <c r="L4" s="88"/>
      <c r="M4" s="1"/>
      <c r="N4" s="87" t="s">
        <v>1</v>
      </c>
      <c r="O4" s="88"/>
      <c r="P4" s="1"/>
      <c r="Q4" s="85" t="s">
        <v>1</v>
      </c>
      <c r="R4" s="86"/>
      <c r="S4" s="1"/>
      <c r="T4" s="1"/>
      <c r="U4" s="1"/>
      <c r="V4" s="1"/>
      <c r="W4" s="1"/>
      <c r="X4" s="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 ht="16.5">
      <c r="A5" s="50" t="s">
        <v>44</v>
      </c>
      <c r="B5" s="3" t="s">
        <v>2</v>
      </c>
      <c r="C5" s="70" t="s">
        <v>3</v>
      </c>
      <c r="D5" s="70"/>
      <c r="E5" s="70"/>
      <c r="F5" s="70"/>
      <c r="G5" s="1"/>
      <c r="H5" s="82" t="s">
        <v>4</v>
      </c>
      <c r="I5" s="83"/>
      <c r="J5" s="45"/>
      <c r="K5" s="46" t="s">
        <v>38</v>
      </c>
      <c r="L5" s="37"/>
      <c r="M5" s="45"/>
      <c r="N5" s="46" t="s">
        <v>39</v>
      </c>
      <c r="O5" s="37"/>
      <c r="P5" s="2"/>
      <c r="Q5" s="2"/>
      <c r="R5" s="2"/>
      <c r="S5" s="1"/>
      <c r="T5" s="70" t="s">
        <v>1</v>
      </c>
      <c r="U5" s="70"/>
      <c r="V5" s="70"/>
      <c r="W5" s="70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4">
        <v>2012</v>
      </c>
    </row>
    <row r="6" spans="1:78" ht="16.5" customHeight="1">
      <c r="A6" s="1"/>
      <c r="B6" s="5" t="s">
        <v>6</v>
      </c>
      <c r="C6" s="75" t="s">
        <v>7</v>
      </c>
      <c r="D6" s="76"/>
      <c r="E6" s="6" t="s">
        <v>8</v>
      </c>
      <c r="F6" s="7" t="s">
        <v>9</v>
      </c>
      <c r="G6" s="1"/>
      <c r="H6" s="34" t="s">
        <v>10</v>
      </c>
      <c r="I6" s="35" t="s">
        <v>11</v>
      </c>
      <c r="J6" s="47"/>
      <c r="K6" s="38" t="s">
        <v>36</v>
      </c>
      <c r="L6" s="39" t="s">
        <v>35</v>
      </c>
      <c r="M6" s="47"/>
      <c r="N6" s="38" t="s">
        <v>36</v>
      </c>
      <c r="O6" s="39" t="s">
        <v>35</v>
      </c>
      <c r="P6" s="2"/>
      <c r="Q6" s="2"/>
      <c r="R6" s="2"/>
      <c r="S6" s="1"/>
      <c r="T6" s="71" t="s">
        <v>7</v>
      </c>
      <c r="U6" s="71"/>
      <c r="V6" s="7" t="s">
        <v>8</v>
      </c>
      <c r="W6" s="7" t="s">
        <v>13</v>
      </c>
      <c r="X6" s="1"/>
      <c r="Y6" s="12">
        <f>Z6+1</f>
        <v>236</v>
      </c>
      <c r="Z6" s="12">
        <f>AA6+1</f>
        <v>235</v>
      </c>
      <c r="AA6" s="12">
        <f>AB6+1</f>
        <v>234</v>
      </c>
      <c r="AB6" s="12">
        <f>AC6+1</f>
        <v>233</v>
      </c>
      <c r="AC6" s="12">
        <f>AD6+1</f>
        <v>232</v>
      </c>
      <c r="AD6" s="12">
        <f>AE6+1</f>
        <v>231</v>
      </c>
      <c r="AE6" s="12">
        <f aca="true" t="shared" si="0" ref="AE6:BY6">AF6+1</f>
        <v>230</v>
      </c>
      <c r="AF6" s="12">
        <f t="shared" si="0"/>
        <v>229</v>
      </c>
      <c r="AG6" s="12">
        <f t="shared" si="0"/>
        <v>228</v>
      </c>
      <c r="AH6" s="12">
        <f t="shared" si="0"/>
        <v>227</v>
      </c>
      <c r="AI6" s="12">
        <f t="shared" si="0"/>
        <v>226</v>
      </c>
      <c r="AJ6" s="12">
        <f t="shared" si="0"/>
        <v>225</v>
      </c>
      <c r="AK6" s="12">
        <f t="shared" si="0"/>
        <v>224</v>
      </c>
      <c r="AL6" s="12">
        <f t="shared" si="0"/>
        <v>223</v>
      </c>
      <c r="AM6" s="12">
        <f t="shared" si="0"/>
        <v>222</v>
      </c>
      <c r="AN6" s="12">
        <f t="shared" si="0"/>
        <v>221</v>
      </c>
      <c r="AO6" s="12">
        <f t="shared" si="0"/>
        <v>220</v>
      </c>
      <c r="AP6" s="12">
        <f t="shared" si="0"/>
        <v>219</v>
      </c>
      <c r="AQ6" s="12">
        <f t="shared" si="0"/>
        <v>218</v>
      </c>
      <c r="AR6" s="12">
        <f t="shared" si="0"/>
        <v>217</v>
      </c>
      <c r="AS6" s="12">
        <f t="shared" si="0"/>
        <v>216</v>
      </c>
      <c r="AT6" s="12">
        <f t="shared" si="0"/>
        <v>215</v>
      </c>
      <c r="AU6" s="12">
        <f t="shared" si="0"/>
        <v>214</v>
      </c>
      <c r="AV6" s="12">
        <f t="shared" si="0"/>
        <v>213</v>
      </c>
      <c r="AW6" s="12">
        <f t="shared" si="0"/>
        <v>212</v>
      </c>
      <c r="AX6" s="12">
        <f t="shared" si="0"/>
        <v>211</v>
      </c>
      <c r="AY6" s="12">
        <f t="shared" si="0"/>
        <v>210</v>
      </c>
      <c r="AZ6" s="12">
        <f t="shared" si="0"/>
        <v>209</v>
      </c>
      <c r="BA6" s="12">
        <f t="shared" si="0"/>
        <v>208</v>
      </c>
      <c r="BB6" s="12">
        <f t="shared" si="0"/>
        <v>207</v>
      </c>
      <c r="BC6" s="13">
        <f t="shared" si="0"/>
        <v>206</v>
      </c>
      <c r="BD6" s="13">
        <f t="shared" si="0"/>
        <v>205</v>
      </c>
      <c r="BE6" s="12">
        <f t="shared" si="0"/>
        <v>204</v>
      </c>
      <c r="BF6" s="13">
        <f t="shared" si="0"/>
        <v>203</v>
      </c>
      <c r="BG6" s="12">
        <f t="shared" si="0"/>
        <v>202</v>
      </c>
      <c r="BH6" s="13">
        <f t="shared" si="0"/>
        <v>201</v>
      </c>
      <c r="BI6" s="12">
        <f t="shared" si="0"/>
        <v>200</v>
      </c>
      <c r="BJ6" s="12">
        <f t="shared" si="0"/>
        <v>199</v>
      </c>
      <c r="BK6" s="12">
        <f t="shared" si="0"/>
        <v>198</v>
      </c>
      <c r="BL6" s="12">
        <f t="shared" si="0"/>
        <v>197</v>
      </c>
      <c r="BM6" s="12">
        <f t="shared" si="0"/>
        <v>196</v>
      </c>
      <c r="BN6" s="12">
        <f t="shared" si="0"/>
        <v>195</v>
      </c>
      <c r="BO6" s="12">
        <f t="shared" si="0"/>
        <v>194</v>
      </c>
      <c r="BP6" s="12">
        <f t="shared" si="0"/>
        <v>193</v>
      </c>
      <c r="BQ6" s="12">
        <f t="shared" si="0"/>
        <v>192</v>
      </c>
      <c r="BR6" s="12">
        <f t="shared" si="0"/>
        <v>191</v>
      </c>
      <c r="BS6" s="12">
        <f t="shared" si="0"/>
        <v>190</v>
      </c>
      <c r="BT6" s="12">
        <f>BU6+1</f>
        <v>189</v>
      </c>
      <c r="BU6" s="12">
        <f t="shared" si="0"/>
        <v>188</v>
      </c>
      <c r="BV6" s="12">
        <f t="shared" si="0"/>
        <v>187</v>
      </c>
      <c r="BW6" s="12">
        <f t="shared" si="0"/>
        <v>186</v>
      </c>
      <c r="BX6" s="12">
        <f t="shared" si="0"/>
        <v>185</v>
      </c>
      <c r="BY6" s="12">
        <f t="shared" si="0"/>
        <v>184</v>
      </c>
      <c r="BZ6" s="12">
        <v>183</v>
      </c>
    </row>
    <row r="7" spans="1:78" ht="14.25" customHeight="1">
      <c r="A7" s="14"/>
      <c r="B7" s="15" t="s">
        <v>14</v>
      </c>
      <c r="C7" s="16">
        <f>E7*7.8/F7</f>
        <v>2.1272727272727274</v>
      </c>
      <c r="D7" s="17" t="s">
        <v>15</v>
      </c>
      <c r="E7" s="18">
        <f>SUM(X7:BM7)</f>
        <v>9</v>
      </c>
      <c r="F7" s="19">
        <f>COUNTIF(X7:BM7,"&gt;=0")</f>
        <v>33</v>
      </c>
      <c r="H7" s="20">
        <f>COUNTIF(X7:IV7,"=1")*4</f>
        <v>48</v>
      </c>
      <c r="I7" s="21">
        <f>(H7*5300)/(W7*3040)</f>
        <v>1.8596491228070176</v>
      </c>
      <c r="J7" s="48"/>
      <c r="K7" s="49">
        <v>3040</v>
      </c>
      <c r="L7" s="41">
        <f>(I7*K7*W7)-(K7*W7)</f>
        <v>117600</v>
      </c>
      <c r="M7" s="48"/>
      <c r="N7" s="49">
        <v>608</v>
      </c>
      <c r="O7" s="41">
        <f>(I7*N7*W7)-(N7*W7)</f>
        <v>23520</v>
      </c>
      <c r="P7" s="2"/>
      <c r="Q7" s="2"/>
      <c r="R7" s="2"/>
      <c r="S7" s="2"/>
      <c r="T7" s="22">
        <f>V7*7.8/W7</f>
        <v>2.08</v>
      </c>
      <c r="U7" s="23" t="s">
        <v>16</v>
      </c>
      <c r="V7" s="18">
        <f>SUM(X7:IV7)</f>
        <v>12</v>
      </c>
      <c r="W7" s="18">
        <f>COUNTIF(X7:IV7,"&gt;=0")</f>
        <v>45</v>
      </c>
      <c r="Y7" s="24">
        <v>0</v>
      </c>
      <c r="Z7" s="24">
        <v>0</v>
      </c>
      <c r="AA7" s="24">
        <v>0</v>
      </c>
      <c r="AB7" s="24">
        <v>0</v>
      </c>
      <c r="AC7" s="24">
        <v>1</v>
      </c>
      <c r="AD7" s="24" t="s">
        <v>17</v>
      </c>
      <c r="AE7" s="24">
        <v>0</v>
      </c>
      <c r="AF7" s="24">
        <v>0</v>
      </c>
      <c r="AG7" s="24">
        <v>0</v>
      </c>
      <c r="AH7" s="24">
        <v>0</v>
      </c>
      <c r="AI7" s="24">
        <v>1</v>
      </c>
      <c r="AJ7" s="24" t="s">
        <v>17</v>
      </c>
      <c r="AK7" s="24" t="s">
        <v>17</v>
      </c>
      <c r="AL7" s="24" t="s">
        <v>17</v>
      </c>
      <c r="AM7" s="24" t="s">
        <v>17</v>
      </c>
      <c r="AN7" s="24" t="s">
        <v>17</v>
      </c>
      <c r="AO7" s="24" t="s">
        <v>17</v>
      </c>
      <c r="AP7" s="24">
        <v>0</v>
      </c>
      <c r="AQ7" s="24">
        <v>0</v>
      </c>
      <c r="AR7" s="24">
        <v>1</v>
      </c>
      <c r="AS7" s="24">
        <v>1</v>
      </c>
      <c r="AT7" s="24">
        <v>0</v>
      </c>
      <c r="AU7" s="24">
        <v>0</v>
      </c>
      <c r="AV7" s="24">
        <v>1</v>
      </c>
      <c r="AW7" s="24">
        <v>0</v>
      </c>
      <c r="AX7" s="24">
        <v>0</v>
      </c>
      <c r="AY7" s="24">
        <v>1</v>
      </c>
      <c r="AZ7" s="24">
        <v>0</v>
      </c>
      <c r="BA7" s="24">
        <v>1</v>
      </c>
      <c r="BB7" s="24">
        <v>0</v>
      </c>
      <c r="BC7" s="24">
        <v>0</v>
      </c>
      <c r="BD7" s="24">
        <v>0</v>
      </c>
      <c r="BE7" s="24" t="s">
        <v>17</v>
      </c>
      <c r="BF7" s="24">
        <v>0</v>
      </c>
      <c r="BG7" s="24">
        <v>1</v>
      </c>
      <c r="BH7" s="24">
        <v>0</v>
      </c>
      <c r="BI7" s="24">
        <v>0</v>
      </c>
      <c r="BJ7" s="24">
        <v>0</v>
      </c>
      <c r="BK7" s="24">
        <v>0</v>
      </c>
      <c r="BL7" s="24">
        <v>1</v>
      </c>
      <c r="BM7" s="24">
        <v>0</v>
      </c>
      <c r="BN7" s="24">
        <v>0</v>
      </c>
      <c r="BO7" s="24">
        <v>1</v>
      </c>
      <c r="BP7" s="24">
        <v>0</v>
      </c>
      <c r="BQ7" s="24" t="s">
        <v>17</v>
      </c>
      <c r="BR7" s="24">
        <v>0</v>
      </c>
      <c r="BS7" s="24">
        <v>0</v>
      </c>
      <c r="BT7" s="24">
        <v>0</v>
      </c>
      <c r="BU7" s="25">
        <v>1</v>
      </c>
      <c r="BV7" s="25">
        <v>0</v>
      </c>
      <c r="BW7" s="25">
        <v>1</v>
      </c>
      <c r="BX7" s="26">
        <v>0</v>
      </c>
      <c r="BY7" s="24">
        <v>0</v>
      </c>
      <c r="BZ7" s="25">
        <v>0</v>
      </c>
    </row>
    <row r="8" spans="1:78" ht="16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</row>
    <row r="9" spans="1:78" ht="16.5">
      <c r="A9" s="50" t="s">
        <v>44</v>
      </c>
      <c r="B9" s="3" t="s">
        <v>18</v>
      </c>
      <c r="C9" s="70" t="s">
        <v>19</v>
      </c>
      <c r="D9" s="70"/>
      <c r="E9" s="70"/>
      <c r="F9" s="70"/>
      <c r="G9" s="1"/>
      <c r="H9" s="77" t="s">
        <v>20</v>
      </c>
      <c r="I9" s="78"/>
      <c r="J9" s="45"/>
      <c r="K9" s="46" t="s">
        <v>38</v>
      </c>
      <c r="L9" s="37"/>
      <c r="M9" s="42"/>
      <c r="N9" s="36" t="s">
        <v>37</v>
      </c>
      <c r="O9" s="37"/>
      <c r="P9" s="42"/>
      <c r="Q9" s="36" t="s">
        <v>42</v>
      </c>
      <c r="R9" s="37"/>
      <c r="S9" s="1"/>
      <c r="T9" s="70" t="s">
        <v>1</v>
      </c>
      <c r="U9" s="70"/>
      <c r="V9" s="70"/>
      <c r="W9" s="70"/>
      <c r="X9" s="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4">
        <v>2012</v>
      </c>
    </row>
    <row r="10" spans="1:78" ht="16.5" customHeight="1">
      <c r="A10" s="1"/>
      <c r="B10" s="5" t="s">
        <v>6</v>
      </c>
      <c r="C10" s="75" t="s">
        <v>7</v>
      </c>
      <c r="D10" s="76"/>
      <c r="E10" s="6" t="s">
        <v>8</v>
      </c>
      <c r="F10" s="7" t="s">
        <v>9</v>
      </c>
      <c r="G10" s="1"/>
      <c r="H10" s="8" t="s">
        <v>10</v>
      </c>
      <c r="I10" s="9" t="s">
        <v>11</v>
      </c>
      <c r="J10" s="47"/>
      <c r="K10" s="38" t="s">
        <v>36</v>
      </c>
      <c r="L10" s="39" t="s">
        <v>35</v>
      </c>
      <c r="M10" s="43"/>
      <c r="N10" s="38" t="s">
        <v>36</v>
      </c>
      <c r="O10" s="39" t="s">
        <v>35</v>
      </c>
      <c r="P10" s="43"/>
      <c r="Q10" s="38" t="s">
        <v>36</v>
      </c>
      <c r="R10" s="39" t="s">
        <v>35</v>
      </c>
      <c r="S10" s="1"/>
      <c r="T10" s="71" t="s">
        <v>7</v>
      </c>
      <c r="U10" s="71"/>
      <c r="V10" s="7" t="s">
        <v>8</v>
      </c>
      <c r="W10" s="7" t="s">
        <v>13</v>
      </c>
      <c r="X10" s="1"/>
      <c r="Y10" s="12">
        <f>Z10+1</f>
        <v>236</v>
      </c>
      <c r="Z10" s="12">
        <f>AA10+1</f>
        <v>235</v>
      </c>
      <c r="AA10" s="12">
        <f>AB10+1</f>
        <v>234</v>
      </c>
      <c r="AB10" s="12">
        <f>AC10+1</f>
        <v>233</v>
      </c>
      <c r="AC10" s="12">
        <f>AD10+1</f>
        <v>232</v>
      </c>
      <c r="AD10" s="12">
        <f>AE10+1</f>
        <v>231</v>
      </c>
      <c r="AE10" s="12">
        <f aca="true" t="shared" si="1" ref="AE10:BS10">AF10+1</f>
        <v>230</v>
      </c>
      <c r="AF10" s="12">
        <f t="shared" si="1"/>
        <v>229</v>
      </c>
      <c r="AG10" s="12">
        <f t="shared" si="1"/>
        <v>228</v>
      </c>
      <c r="AH10" s="12">
        <f t="shared" si="1"/>
        <v>227</v>
      </c>
      <c r="AI10" s="12">
        <f t="shared" si="1"/>
        <v>226</v>
      </c>
      <c r="AJ10" s="12">
        <f t="shared" si="1"/>
        <v>225</v>
      </c>
      <c r="AK10" s="12">
        <f t="shared" si="1"/>
        <v>224</v>
      </c>
      <c r="AL10" s="12">
        <f t="shared" si="1"/>
        <v>223</v>
      </c>
      <c r="AM10" s="12">
        <f t="shared" si="1"/>
        <v>222</v>
      </c>
      <c r="AN10" s="12">
        <f t="shared" si="1"/>
        <v>221</v>
      </c>
      <c r="AO10" s="12">
        <f t="shared" si="1"/>
        <v>220</v>
      </c>
      <c r="AP10" s="12">
        <f t="shared" si="1"/>
        <v>219</v>
      </c>
      <c r="AQ10" s="12">
        <f t="shared" si="1"/>
        <v>218</v>
      </c>
      <c r="AR10" s="12">
        <f t="shared" si="1"/>
        <v>217</v>
      </c>
      <c r="AS10" s="12">
        <f t="shared" si="1"/>
        <v>216</v>
      </c>
      <c r="AT10" s="12">
        <f t="shared" si="1"/>
        <v>215</v>
      </c>
      <c r="AU10" s="12">
        <f t="shared" si="1"/>
        <v>214</v>
      </c>
      <c r="AV10" s="12">
        <f t="shared" si="1"/>
        <v>213</v>
      </c>
      <c r="AW10" s="12">
        <f t="shared" si="1"/>
        <v>212</v>
      </c>
      <c r="AX10" s="12">
        <f t="shared" si="1"/>
        <v>211</v>
      </c>
      <c r="AY10" s="12">
        <f t="shared" si="1"/>
        <v>210</v>
      </c>
      <c r="AZ10" s="12">
        <f t="shared" si="1"/>
        <v>209</v>
      </c>
      <c r="BA10" s="12">
        <f t="shared" si="1"/>
        <v>208</v>
      </c>
      <c r="BB10" s="12">
        <f t="shared" si="1"/>
        <v>207</v>
      </c>
      <c r="BC10" s="13">
        <f t="shared" si="1"/>
        <v>206</v>
      </c>
      <c r="BD10" s="13">
        <f t="shared" si="1"/>
        <v>205</v>
      </c>
      <c r="BE10" s="12">
        <f t="shared" si="1"/>
        <v>204</v>
      </c>
      <c r="BF10" s="13">
        <f t="shared" si="1"/>
        <v>203</v>
      </c>
      <c r="BG10" s="12">
        <f t="shared" si="1"/>
        <v>202</v>
      </c>
      <c r="BH10" s="13">
        <f t="shared" si="1"/>
        <v>201</v>
      </c>
      <c r="BI10" s="12">
        <f t="shared" si="1"/>
        <v>200</v>
      </c>
      <c r="BJ10" s="12">
        <f t="shared" si="1"/>
        <v>199</v>
      </c>
      <c r="BK10" s="12">
        <f t="shared" si="1"/>
        <v>198</v>
      </c>
      <c r="BL10" s="12">
        <f t="shared" si="1"/>
        <v>197</v>
      </c>
      <c r="BM10" s="12">
        <f t="shared" si="1"/>
        <v>196</v>
      </c>
      <c r="BN10" s="12">
        <f t="shared" si="1"/>
        <v>195</v>
      </c>
      <c r="BO10" s="12">
        <f t="shared" si="1"/>
        <v>194</v>
      </c>
      <c r="BP10" s="12">
        <f t="shared" si="1"/>
        <v>193</v>
      </c>
      <c r="BQ10" s="12">
        <f t="shared" si="1"/>
        <v>192</v>
      </c>
      <c r="BR10" s="12">
        <f t="shared" si="1"/>
        <v>191</v>
      </c>
      <c r="BS10" s="12">
        <f t="shared" si="1"/>
        <v>190</v>
      </c>
      <c r="BT10" s="12">
        <f aca="true" t="shared" si="2" ref="BT10:BY10">BU10+1</f>
        <v>189</v>
      </c>
      <c r="BU10" s="12">
        <f t="shared" si="2"/>
        <v>188</v>
      </c>
      <c r="BV10" s="12">
        <f t="shared" si="2"/>
        <v>187</v>
      </c>
      <c r="BW10" s="12">
        <f t="shared" si="2"/>
        <v>186</v>
      </c>
      <c r="BX10" s="12">
        <f t="shared" si="2"/>
        <v>185</v>
      </c>
      <c r="BY10" s="12">
        <f t="shared" si="2"/>
        <v>184</v>
      </c>
      <c r="BZ10" s="12">
        <v>183</v>
      </c>
    </row>
    <row r="11" spans="1:78" ht="14.25" customHeight="1">
      <c r="A11" s="14"/>
      <c r="B11" s="15" t="s">
        <v>14</v>
      </c>
      <c r="C11" s="16">
        <f>E11*7.8/F11</f>
        <v>1.4857142857142858</v>
      </c>
      <c r="D11" s="17" t="s">
        <v>15</v>
      </c>
      <c r="E11" s="18">
        <f>SUM(X11:AZ11)</f>
        <v>8</v>
      </c>
      <c r="F11" s="19">
        <f>COUNTIF(X11:AZ11,"&gt;=0")*2</f>
        <v>42</v>
      </c>
      <c r="H11" s="20">
        <f>COUNTIF(X11:IV11,"=2")</f>
        <v>2</v>
      </c>
      <c r="I11" s="21">
        <f>(H11*5300)/(W11*80)</f>
        <v>2.9444444444444446</v>
      </c>
      <c r="J11" s="48"/>
      <c r="K11" s="49">
        <v>80</v>
      </c>
      <c r="L11" s="41">
        <f>(I11*K11*W11)-(K11*W11)</f>
        <v>7000</v>
      </c>
      <c r="M11" s="44"/>
      <c r="N11" s="40">
        <v>240</v>
      </c>
      <c r="O11" s="41">
        <f>(I11*N11*W11)-(N11*W11)</f>
        <v>21000.000000000004</v>
      </c>
      <c r="P11" s="44"/>
      <c r="Q11" s="40">
        <v>400</v>
      </c>
      <c r="R11" s="41">
        <f>(I11*Q11*W11)-(Q11*W11)</f>
        <v>35000</v>
      </c>
      <c r="S11" s="2"/>
      <c r="T11" s="22">
        <f>V11*7.8/(W11*2)</f>
        <v>1.7333333333333334</v>
      </c>
      <c r="U11" s="23" t="s">
        <v>16</v>
      </c>
      <c r="V11" s="18">
        <f>SUM(X11:BZ11)</f>
        <v>20</v>
      </c>
      <c r="W11" s="18">
        <f>COUNTIF(X11:BZ11,"&gt;=0")*2/2</f>
        <v>45</v>
      </c>
      <c r="Y11" s="27">
        <v>0</v>
      </c>
      <c r="Z11" s="27">
        <v>0</v>
      </c>
      <c r="AA11" s="27">
        <v>0</v>
      </c>
      <c r="AB11" s="27">
        <v>0</v>
      </c>
      <c r="AC11" s="27">
        <v>1</v>
      </c>
      <c r="AD11" s="27" t="s">
        <v>21</v>
      </c>
      <c r="AE11" s="24">
        <v>0</v>
      </c>
      <c r="AF11" s="24">
        <v>0</v>
      </c>
      <c r="AG11" s="24">
        <v>0</v>
      </c>
      <c r="AH11" s="24">
        <v>0</v>
      </c>
      <c r="AI11" s="27">
        <v>1</v>
      </c>
      <c r="AJ11" s="27" t="s">
        <v>21</v>
      </c>
      <c r="AK11" s="27" t="s">
        <v>21</v>
      </c>
      <c r="AL11" s="27" t="s">
        <v>21</v>
      </c>
      <c r="AM11" s="27" t="s">
        <v>21</v>
      </c>
      <c r="AN11" s="27" t="s">
        <v>21</v>
      </c>
      <c r="AO11" s="27" t="s">
        <v>21</v>
      </c>
      <c r="AP11" s="27">
        <v>0</v>
      </c>
      <c r="AQ11" s="27">
        <v>1</v>
      </c>
      <c r="AR11" s="27">
        <v>1</v>
      </c>
      <c r="AS11" s="27">
        <v>1</v>
      </c>
      <c r="AT11" s="27">
        <v>0</v>
      </c>
      <c r="AU11" s="27">
        <v>0</v>
      </c>
      <c r="AV11" s="27">
        <v>1</v>
      </c>
      <c r="AW11" s="27">
        <v>1</v>
      </c>
      <c r="AX11" s="27">
        <v>0</v>
      </c>
      <c r="AY11" s="27">
        <v>1</v>
      </c>
      <c r="AZ11" s="27">
        <v>0</v>
      </c>
      <c r="BA11" s="27">
        <v>1</v>
      </c>
      <c r="BB11" s="27">
        <v>0</v>
      </c>
      <c r="BC11" s="27">
        <v>1</v>
      </c>
      <c r="BD11" s="27">
        <v>0</v>
      </c>
      <c r="BE11" s="27" t="s">
        <v>21</v>
      </c>
      <c r="BF11" s="27">
        <v>1</v>
      </c>
      <c r="BG11" s="27">
        <v>1</v>
      </c>
      <c r="BH11" s="27">
        <v>0</v>
      </c>
      <c r="BI11" s="27">
        <v>0</v>
      </c>
      <c r="BJ11" s="27">
        <v>0</v>
      </c>
      <c r="BK11" s="27">
        <v>0</v>
      </c>
      <c r="BL11" s="28">
        <v>2</v>
      </c>
      <c r="BM11" s="27">
        <v>0</v>
      </c>
      <c r="BN11" s="27">
        <v>0</v>
      </c>
      <c r="BO11" s="28">
        <v>2</v>
      </c>
      <c r="BP11" s="26">
        <v>0</v>
      </c>
      <c r="BQ11" s="27" t="s">
        <v>21</v>
      </c>
      <c r="BR11" s="26">
        <v>0</v>
      </c>
      <c r="BS11" s="29">
        <v>1</v>
      </c>
      <c r="BT11" s="26">
        <v>0</v>
      </c>
      <c r="BU11" s="29">
        <v>1</v>
      </c>
      <c r="BV11" s="26">
        <v>0</v>
      </c>
      <c r="BW11" s="29">
        <v>1</v>
      </c>
      <c r="BX11" s="26">
        <v>0</v>
      </c>
      <c r="BY11" s="29">
        <v>1</v>
      </c>
      <c r="BZ11" s="26">
        <v>0</v>
      </c>
    </row>
    <row r="12" spans="1:78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:78" ht="16.5">
      <c r="A13" s="1"/>
      <c r="B13" s="3" t="s">
        <v>33</v>
      </c>
      <c r="C13" s="70" t="s">
        <v>34</v>
      </c>
      <c r="D13" s="70"/>
      <c r="E13" s="70"/>
      <c r="F13" s="70"/>
      <c r="G13" s="1"/>
      <c r="H13" s="77" t="s">
        <v>20</v>
      </c>
      <c r="I13" s="78"/>
      <c r="J13" s="42"/>
      <c r="K13" s="46" t="s">
        <v>38</v>
      </c>
      <c r="L13" s="37"/>
      <c r="M13" s="1"/>
      <c r="N13" s="79" t="s">
        <v>5</v>
      </c>
      <c r="O13" s="78"/>
      <c r="P13" s="42"/>
      <c r="Q13" s="36" t="s">
        <v>40</v>
      </c>
      <c r="R13" s="37"/>
      <c r="S13" s="1"/>
      <c r="T13" s="70" t="s">
        <v>1</v>
      </c>
      <c r="U13" s="70"/>
      <c r="V13" s="70"/>
      <c r="W13" s="70"/>
      <c r="X13" s="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4">
        <v>2012</v>
      </c>
    </row>
    <row r="14" spans="1:78" ht="16.5" customHeight="1">
      <c r="A14" s="1"/>
      <c r="B14" s="5" t="s">
        <v>6</v>
      </c>
      <c r="C14" s="75" t="s">
        <v>7</v>
      </c>
      <c r="D14" s="76"/>
      <c r="E14" s="6" t="s">
        <v>8</v>
      </c>
      <c r="F14" s="7" t="s">
        <v>9</v>
      </c>
      <c r="G14" s="1"/>
      <c r="H14" s="8" t="s">
        <v>10</v>
      </c>
      <c r="I14" s="9" t="s">
        <v>11</v>
      </c>
      <c r="J14" s="43"/>
      <c r="K14" s="38" t="s">
        <v>36</v>
      </c>
      <c r="L14" s="39" t="s">
        <v>35</v>
      </c>
      <c r="M14" s="1"/>
      <c r="N14" s="10" t="s">
        <v>12</v>
      </c>
      <c r="O14" s="11" t="s">
        <v>11</v>
      </c>
      <c r="P14" s="43"/>
      <c r="Q14" s="38" t="s">
        <v>36</v>
      </c>
      <c r="R14" s="39" t="s">
        <v>35</v>
      </c>
      <c r="S14" s="1"/>
      <c r="T14" s="71" t="s">
        <v>7</v>
      </c>
      <c r="U14" s="71"/>
      <c r="V14" s="7" t="s">
        <v>8</v>
      </c>
      <c r="W14" s="7" t="s">
        <v>13</v>
      </c>
      <c r="X14" s="1"/>
      <c r="Y14" s="12">
        <f>Z14+1</f>
        <v>236</v>
      </c>
      <c r="Z14" s="12">
        <f aca="true" t="shared" si="3" ref="Z14:AG14">AA14+1</f>
        <v>235</v>
      </c>
      <c r="AA14" s="12">
        <f t="shared" si="3"/>
        <v>234</v>
      </c>
      <c r="AB14" s="12">
        <f t="shared" si="3"/>
        <v>233</v>
      </c>
      <c r="AC14" s="12">
        <f t="shared" si="3"/>
        <v>232</v>
      </c>
      <c r="AD14" s="12">
        <f t="shared" si="3"/>
        <v>231</v>
      </c>
      <c r="AE14" s="12">
        <f t="shared" si="3"/>
        <v>230</v>
      </c>
      <c r="AF14" s="12">
        <f t="shared" si="3"/>
        <v>229</v>
      </c>
      <c r="AG14" s="12">
        <f t="shared" si="3"/>
        <v>228</v>
      </c>
      <c r="AH14" s="12">
        <f aca="true" t="shared" si="4" ref="AH14:BR14">AI14+1</f>
        <v>227</v>
      </c>
      <c r="AI14" s="12">
        <f t="shared" si="4"/>
        <v>226</v>
      </c>
      <c r="AJ14" s="12">
        <f t="shared" si="4"/>
        <v>225</v>
      </c>
      <c r="AK14" s="12">
        <f t="shared" si="4"/>
        <v>224</v>
      </c>
      <c r="AL14" s="12">
        <f t="shared" si="4"/>
        <v>223</v>
      </c>
      <c r="AM14" s="12">
        <f t="shared" si="4"/>
        <v>222</v>
      </c>
      <c r="AN14" s="12">
        <f t="shared" si="4"/>
        <v>221</v>
      </c>
      <c r="AO14" s="12">
        <f t="shared" si="4"/>
        <v>220</v>
      </c>
      <c r="AP14" s="12">
        <f t="shared" si="4"/>
        <v>219</v>
      </c>
      <c r="AQ14" s="12">
        <f t="shared" si="4"/>
        <v>218</v>
      </c>
      <c r="AR14" s="12">
        <f t="shared" si="4"/>
        <v>217</v>
      </c>
      <c r="AS14" s="12">
        <f t="shared" si="4"/>
        <v>216</v>
      </c>
      <c r="AT14" s="12">
        <f t="shared" si="4"/>
        <v>215</v>
      </c>
      <c r="AU14" s="12">
        <f t="shared" si="4"/>
        <v>214</v>
      </c>
      <c r="AV14" s="12">
        <f t="shared" si="4"/>
        <v>213</v>
      </c>
      <c r="AW14" s="12">
        <f t="shared" si="4"/>
        <v>212</v>
      </c>
      <c r="AX14" s="12">
        <f t="shared" si="4"/>
        <v>211</v>
      </c>
      <c r="AY14" s="12">
        <f t="shared" si="4"/>
        <v>210</v>
      </c>
      <c r="AZ14" s="12">
        <f t="shared" si="4"/>
        <v>209</v>
      </c>
      <c r="BA14" s="12">
        <f t="shared" si="4"/>
        <v>208</v>
      </c>
      <c r="BB14" s="12">
        <f t="shared" si="4"/>
        <v>207</v>
      </c>
      <c r="BC14" s="13">
        <f t="shared" si="4"/>
        <v>206</v>
      </c>
      <c r="BD14" s="13">
        <f t="shared" si="4"/>
        <v>205</v>
      </c>
      <c r="BE14" s="12">
        <f t="shared" si="4"/>
        <v>204</v>
      </c>
      <c r="BF14" s="13">
        <f t="shared" si="4"/>
        <v>203</v>
      </c>
      <c r="BG14" s="12">
        <f t="shared" si="4"/>
        <v>202</v>
      </c>
      <c r="BH14" s="13">
        <f t="shared" si="4"/>
        <v>201</v>
      </c>
      <c r="BI14" s="12">
        <f t="shared" si="4"/>
        <v>200</v>
      </c>
      <c r="BJ14" s="12">
        <f t="shared" si="4"/>
        <v>199</v>
      </c>
      <c r="BK14" s="12">
        <f t="shared" si="4"/>
        <v>198</v>
      </c>
      <c r="BL14" s="12">
        <f t="shared" si="4"/>
        <v>197</v>
      </c>
      <c r="BM14" s="12">
        <f t="shared" si="4"/>
        <v>196</v>
      </c>
      <c r="BN14" s="12">
        <f t="shared" si="4"/>
        <v>195</v>
      </c>
      <c r="BO14" s="12">
        <f t="shared" si="4"/>
        <v>194</v>
      </c>
      <c r="BP14" s="12">
        <f t="shared" si="4"/>
        <v>193</v>
      </c>
      <c r="BQ14" s="12">
        <f t="shared" si="4"/>
        <v>192</v>
      </c>
      <c r="BR14" s="12">
        <f t="shared" si="4"/>
        <v>191</v>
      </c>
      <c r="BS14" s="12">
        <f aca="true" t="shared" si="5" ref="BS14:BY14">BT14+1</f>
        <v>190</v>
      </c>
      <c r="BT14" s="12">
        <f t="shared" si="5"/>
        <v>189</v>
      </c>
      <c r="BU14" s="12">
        <f t="shared" si="5"/>
        <v>188</v>
      </c>
      <c r="BV14" s="12">
        <f t="shared" si="5"/>
        <v>187</v>
      </c>
      <c r="BW14" s="12">
        <f t="shared" si="5"/>
        <v>186</v>
      </c>
      <c r="BX14" s="12">
        <f t="shared" si="5"/>
        <v>185</v>
      </c>
      <c r="BY14" s="12">
        <f t="shared" si="5"/>
        <v>184</v>
      </c>
      <c r="BZ14" s="12">
        <v>183</v>
      </c>
    </row>
    <row r="15" spans="1:78" ht="14.25" customHeight="1">
      <c r="A15" s="14"/>
      <c r="B15" s="15" t="s">
        <v>14</v>
      </c>
      <c r="C15" s="16">
        <f>E15*7.8/F15</f>
        <v>1.3764705882352941</v>
      </c>
      <c r="D15" s="17" t="s">
        <v>15</v>
      </c>
      <c r="E15" s="18">
        <f>SUM(X15:AV15)</f>
        <v>9</v>
      </c>
      <c r="F15" s="19">
        <f>COUNTIF(X15:AV15,"&gt;=0")*3</f>
        <v>51</v>
      </c>
      <c r="H15" s="20">
        <f>COUNTIF(X15:BZ15,"=2")+COUNTIF(X15:BZ15,"=3")*3</f>
        <v>8</v>
      </c>
      <c r="I15" s="21">
        <f>(H15*5300)/(W15*240)</f>
        <v>3.925925925925926</v>
      </c>
      <c r="J15" s="44"/>
      <c r="K15" s="40">
        <v>240</v>
      </c>
      <c r="L15" s="41">
        <f>(I15*K15*W15)-(K15*W15)</f>
        <v>31600</v>
      </c>
      <c r="N15" s="20">
        <f>COUNTIF(X15:BZ15,"=3")</f>
        <v>2</v>
      </c>
      <c r="O15" s="21">
        <f>(N15*56000)/(W15*70)</f>
        <v>35.55555555555556</v>
      </c>
      <c r="P15" s="44"/>
      <c r="Q15" s="40">
        <v>210</v>
      </c>
      <c r="R15" s="41">
        <f>(O15*Q15*W15)-(Q15*W15)</f>
        <v>326550</v>
      </c>
      <c r="S15" s="2"/>
      <c r="T15" s="22">
        <f>V15*7.8/(W15*2)</f>
        <v>2.4266666666666667</v>
      </c>
      <c r="U15" s="23" t="s">
        <v>16</v>
      </c>
      <c r="V15" s="18">
        <f>SUM(X15:BZ15)</f>
        <v>28</v>
      </c>
      <c r="W15" s="18">
        <f>COUNTIF(X15:BZ15,"&gt;=0")*2/2</f>
        <v>45</v>
      </c>
      <c r="Y15" s="27">
        <v>0</v>
      </c>
      <c r="Z15" s="27">
        <v>0</v>
      </c>
      <c r="AA15" s="27">
        <v>1</v>
      </c>
      <c r="AB15" s="27">
        <v>0</v>
      </c>
      <c r="AC15" s="27">
        <v>1</v>
      </c>
      <c r="AD15" s="27" t="s">
        <v>21</v>
      </c>
      <c r="AE15" s="24">
        <v>0</v>
      </c>
      <c r="AF15" s="24">
        <v>0</v>
      </c>
      <c r="AG15" s="24">
        <v>0</v>
      </c>
      <c r="AH15" s="27">
        <v>1</v>
      </c>
      <c r="AI15" s="27">
        <v>2</v>
      </c>
      <c r="AJ15" s="27" t="s">
        <v>21</v>
      </c>
      <c r="AK15" s="27" t="s">
        <v>21</v>
      </c>
      <c r="AL15" s="27" t="s">
        <v>21</v>
      </c>
      <c r="AM15" s="27" t="s">
        <v>21</v>
      </c>
      <c r="AN15" s="27" t="s">
        <v>21</v>
      </c>
      <c r="AO15" s="27" t="s">
        <v>21</v>
      </c>
      <c r="AP15" s="27">
        <v>0</v>
      </c>
      <c r="AQ15" s="27">
        <v>1</v>
      </c>
      <c r="AR15" s="27">
        <v>1</v>
      </c>
      <c r="AS15" s="27">
        <v>1</v>
      </c>
      <c r="AT15" s="27">
        <v>0</v>
      </c>
      <c r="AU15" s="27">
        <v>0</v>
      </c>
      <c r="AV15" s="27">
        <v>1</v>
      </c>
      <c r="AW15" s="27">
        <v>1</v>
      </c>
      <c r="AX15" s="27">
        <v>0</v>
      </c>
      <c r="AY15" s="27">
        <v>1</v>
      </c>
      <c r="AZ15" s="27">
        <v>0</v>
      </c>
      <c r="BA15" s="27">
        <v>2</v>
      </c>
      <c r="BB15" s="27">
        <v>0</v>
      </c>
      <c r="BC15" s="27">
        <v>1</v>
      </c>
      <c r="BD15" s="27">
        <v>0</v>
      </c>
      <c r="BE15" s="27" t="s">
        <v>21</v>
      </c>
      <c r="BF15" s="27">
        <v>1</v>
      </c>
      <c r="BG15" s="27">
        <v>1</v>
      </c>
      <c r="BH15" s="27">
        <v>0</v>
      </c>
      <c r="BI15" s="27">
        <v>1</v>
      </c>
      <c r="BJ15" s="27">
        <v>0</v>
      </c>
      <c r="BK15" s="27">
        <v>0</v>
      </c>
      <c r="BL15" s="30">
        <v>3</v>
      </c>
      <c r="BM15" s="27">
        <v>0</v>
      </c>
      <c r="BN15" s="27">
        <v>0</v>
      </c>
      <c r="BO15" s="30">
        <v>3</v>
      </c>
      <c r="BP15" s="26">
        <v>0</v>
      </c>
      <c r="BQ15" s="27" t="s">
        <v>21</v>
      </c>
      <c r="BR15" s="26">
        <v>0</v>
      </c>
      <c r="BS15" s="29">
        <v>1</v>
      </c>
      <c r="BT15" s="26">
        <v>0</v>
      </c>
      <c r="BU15" s="29">
        <v>1</v>
      </c>
      <c r="BV15" s="26">
        <v>0</v>
      </c>
      <c r="BW15" s="29">
        <v>1</v>
      </c>
      <c r="BX15" s="26">
        <v>0</v>
      </c>
      <c r="BY15" s="29">
        <v>1</v>
      </c>
      <c r="BZ15" s="26">
        <v>1</v>
      </c>
    </row>
    <row r="16" spans="1:78" ht="16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ht="16.5">
      <c r="A17" s="1"/>
      <c r="B17" s="3" t="s">
        <v>45</v>
      </c>
      <c r="C17" s="70" t="s">
        <v>46</v>
      </c>
      <c r="D17" s="70"/>
      <c r="E17" s="70"/>
      <c r="F17" s="70"/>
      <c r="G17" s="1"/>
      <c r="H17" s="77" t="s">
        <v>20</v>
      </c>
      <c r="I17" s="78"/>
      <c r="J17" s="42"/>
      <c r="K17" s="46" t="s">
        <v>38</v>
      </c>
      <c r="L17" s="37"/>
      <c r="M17" s="1"/>
      <c r="N17" s="79" t="s">
        <v>5</v>
      </c>
      <c r="O17" s="78"/>
      <c r="P17" s="42"/>
      <c r="Q17" s="36" t="s">
        <v>55</v>
      </c>
      <c r="R17" s="37"/>
      <c r="S17" s="1"/>
      <c r="T17" s="70" t="s">
        <v>1</v>
      </c>
      <c r="U17" s="70"/>
      <c r="V17" s="70"/>
      <c r="W17" s="70"/>
      <c r="X17" s="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4">
        <v>2012</v>
      </c>
    </row>
    <row r="18" spans="1:78" ht="16.5" customHeight="1">
      <c r="A18" s="1"/>
      <c r="B18" s="5" t="s">
        <v>6</v>
      </c>
      <c r="C18" s="75" t="s">
        <v>7</v>
      </c>
      <c r="D18" s="76"/>
      <c r="E18" s="6" t="s">
        <v>8</v>
      </c>
      <c r="F18" s="7" t="s">
        <v>9</v>
      </c>
      <c r="G18" s="1"/>
      <c r="H18" s="8" t="s">
        <v>10</v>
      </c>
      <c r="I18" s="9" t="s">
        <v>11</v>
      </c>
      <c r="J18" s="43"/>
      <c r="K18" s="38" t="s">
        <v>36</v>
      </c>
      <c r="L18" s="39" t="s">
        <v>35</v>
      </c>
      <c r="M18" s="1"/>
      <c r="N18" s="10" t="s">
        <v>12</v>
      </c>
      <c r="O18" s="11" t="s">
        <v>11</v>
      </c>
      <c r="P18" s="43"/>
      <c r="Q18" s="38" t="s">
        <v>36</v>
      </c>
      <c r="R18" s="39" t="s">
        <v>35</v>
      </c>
      <c r="S18" s="1"/>
      <c r="T18" s="71" t="s">
        <v>7</v>
      </c>
      <c r="U18" s="71"/>
      <c r="V18" s="7" t="s">
        <v>8</v>
      </c>
      <c r="W18" s="7" t="s">
        <v>13</v>
      </c>
      <c r="X18" s="1"/>
      <c r="Y18" s="12">
        <f>Z18+1</f>
        <v>236</v>
      </c>
      <c r="Z18" s="12">
        <f aca="true" t="shared" si="6" ref="Z18:AG18">AA18+1</f>
        <v>235</v>
      </c>
      <c r="AA18" s="12">
        <f t="shared" si="6"/>
        <v>234</v>
      </c>
      <c r="AB18" s="12">
        <f t="shared" si="6"/>
        <v>233</v>
      </c>
      <c r="AC18" s="12">
        <f t="shared" si="6"/>
        <v>232</v>
      </c>
      <c r="AD18" s="12">
        <f t="shared" si="6"/>
        <v>231</v>
      </c>
      <c r="AE18" s="12">
        <f t="shared" si="6"/>
        <v>230</v>
      </c>
      <c r="AF18" s="12">
        <f t="shared" si="6"/>
        <v>229</v>
      </c>
      <c r="AG18" s="12">
        <f t="shared" si="6"/>
        <v>228</v>
      </c>
      <c r="AH18" s="12">
        <f aca="true" t="shared" si="7" ref="AH18:BY18">AI18+1</f>
        <v>227</v>
      </c>
      <c r="AI18" s="12">
        <f t="shared" si="7"/>
        <v>226</v>
      </c>
      <c r="AJ18" s="12">
        <f t="shared" si="7"/>
        <v>225</v>
      </c>
      <c r="AK18" s="12">
        <f t="shared" si="7"/>
        <v>224</v>
      </c>
      <c r="AL18" s="12">
        <f t="shared" si="7"/>
        <v>223</v>
      </c>
      <c r="AM18" s="12">
        <f t="shared" si="7"/>
        <v>222</v>
      </c>
      <c r="AN18" s="12">
        <f t="shared" si="7"/>
        <v>221</v>
      </c>
      <c r="AO18" s="12">
        <f t="shared" si="7"/>
        <v>220</v>
      </c>
      <c r="AP18" s="12">
        <f t="shared" si="7"/>
        <v>219</v>
      </c>
      <c r="AQ18" s="12">
        <f t="shared" si="7"/>
        <v>218</v>
      </c>
      <c r="AR18" s="12">
        <f t="shared" si="7"/>
        <v>217</v>
      </c>
      <c r="AS18" s="12">
        <f t="shared" si="7"/>
        <v>216</v>
      </c>
      <c r="AT18" s="12">
        <f t="shared" si="7"/>
        <v>215</v>
      </c>
      <c r="AU18" s="12">
        <f t="shared" si="7"/>
        <v>214</v>
      </c>
      <c r="AV18" s="12">
        <f t="shared" si="7"/>
        <v>213</v>
      </c>
      <c r="AW18" s="12">
        <f t="shared" si="7"/>
        <v>212</v>
      </c>
      <c r="AX18" s="12">
        <f t="shared" si="7"/>
        <v>211</v>
      </c>
      <c r="AY18" s="12">
        <f t="shared" si="7"/>
        <v>210</v>
      </c>
      <c r="AZ18" s="12">
        <f t="shared" si="7"/>
        <v>209</v>
      </c>
      <c r="BA18" s="12">
        <f t="shared" si="7"/>
        <v>208</v>
      </c>
      <c r="BB18" s="12">
        <f t="shared" si="7"/>
        <v>207</v>
      </c>
      <c r="BC18" s="13">
        <f t="shared" si="7"/>
        <v>206</v>
      </c>
      <c r="BD18" s="13">
        <f t="shared" si="7"/>
        <v>205</v>
      </c>
      <c r="BE18" s="12">
        <f t="shared" si="7"/>
        <v>204</v>
      </c>
      <c r="BF18" s="13">
        <f t="shared" si="7"/>
        <v>203</v>
      </c>
      <c r="BG18" s="12">
        <f t="shared" si="7"/>
        <v>202</v>
      </c>
      <c r="BH18" s="13">
        <f t="shared" si="7"/>
        <v>201</v>
      </c>
      <c r="BI18" s="12">
        <f t="shared" si="7"/>
        <v>200</v>
      </c>
      <c r="BJ18" s="12">
        <f t="shared" si="7"/>
        <v>199</v>
      </c>
      <c r="BK18" s="12">
        <f t="shared" si="7"/>
        <v>198</v>
      </c>
      <c r="BL18" s="12">
        <f t="shared" si="7"/>
        <v>197</v>
      </c>
      <c r="BM18" s="12">
        <f t="shared" si="7"/>
        <v>196</v>
      </c>
      <c r="BN18" s="12">
        <f t="shared" si="7"/>
        <v>195</v>
      </c>
      <c r="BO18" s="12">
        <f t="shared" si="7"/>
        <v>194</v>
      </c>
      <c r="BP18" s="12">
        <f t="shared" si="7"/>
        <v>193</v>
      </c>
      <c r="BQ18" s="12">
        <f t="shared" si="7"/>
        <v>192</v>
      </c>
      <c r="BR18" s="12">
        <f t="shared" si="7"/>
        <v>191</v>
      </c>
      <c r="BS18" s="12">
        <f t="shared" si="7"/>
        <v>190</v>
      </c>
      <c r="BT18" s="12">
        <f t="shared" si="7"/>
        <v>189</v>
      </c>
      <c r="BU18" s="12">
        <f t="shared" si="7"/>
        <v>188</v>
      </c>
      <c r="BV18" s="12">
        <f t="shared" si="7"/>
        <v>187</v>
      </c>
      <c r="BW18" s="12">
        <f t="shared" si="7"/>
        <v>186</v>
      </c>
      <c r="BX18" s="12">
        <f t="shared" si="7"/>
        <v>185</v>
      </c>
      <c r="BY18" s="12">
        <f t="shared" si="7"/>
        <v>184</v>
      </c>
      <c r="BZ18" s="12">
        <v>183</v>
      </c>
    </row>
    <row r="19" spans="1:78" ht="14.25" customHeight="1">
      <c r="A19" s="14"/>
      <c r="B19" s="15" t="s">
        <v>14</v>
      </c>
      <c r="C19" s="16">
        <f>E19*7.8/F19</f>
        <v>1.5</v>
      </c>
      <c r="D19" s="17" t="s">
        <v>15</v>
      </c>
      <c r="E19" s="18">
        <f>SUM(X19:AR19)</f>
        <v>10</v>
      </c>
      <c r="F19" s="19">
        <f>COUNTIF(X19:AR19,"&gt;=0")*4</f>
        <v>52</v>
      </c>
      <c r="H19" s="20">
        <f>COUNTIF(X19:BZ19,"=2")+COUNTIF(X19:BZ19,"=3")*3+COUNTIF(X19:BZ19,"=4")*6</f>
        <v>12</v>
      </c>
      <c r="I19" s="21">
        <f>(H19*5300)/(W19*480)</f>
        <v>2.9444444444444446</v>
      </c>
      <c r="J19" s="44"/>
      <c r="K19" s="40">
        <v>480</v>
      </c>
      <c r="L19" s="41">
        <f>(I19*K19*W19)-(K19*W19)</f>
        <v>42000.00000000001</v>
      </c>
      <c r="N19" s="20">
        <f>COUNTIF(X19:BZ19,"=3")+COUNTIF(X19:BZ19,"=4")*4</f>
        <v>2</v>
      </c>
      <c r="O19" s="21">
        <f>(N19*56000)/(W19*280)</f>
        <v>8.88888888888889</v>
      </c>
      <c r="P19" s="44"/>
      <c r="Q19" s="40">
        <v>280</v>
      </c>
      <c r="R19" s="41">
        <f>(O19*Q19*W19)-(Q19*W19)</f>
        <v>99400.00000000001</v>
      </c>
      <c r="S19" s="2"/>
      <c r="T19" s="22">
        <f>V19*7.8/(W19*2)</f>
        <v>3.206666666666666</v>
      </c>
      <c r="U19" s="23" t="s">
        <v>16</v>
      </c>
      <c r="V19" s="18">
        <f>SUM(X19:BZ19)</f>
        <v>37</v>
      </c>
      <c r="W19" s="18">
        <f>COUNTIF(X19:BZ19,"&gt;=0")*2/2</f>
        <v>45</v>
      </c>
      <c r="Y19" s="27">
        <v>0</v>
      </c>
      <c r="Z19" s="27">
        <v>1</v>
      </c>
      <c r="AA19" s="27">
        <v>2</v>
      </c>
      <c r="AB19" s="27">
        <v>1</v>
      </c>
      <c r="AC19" s="27">
        <v>1</v>
      </c>
      <c r="AD19" s="27" t="s">
        <v>21</v>
      </c>
      <c r="AE19" s="24">
        <v>0</v>
      </c>
      <c r="AF19" s="24">
        <v>0</v>
      </c>
      <c r="AG19" s="24">
        <v>0</v>
      </c>
      <c r="AH19" s="27">
        <v>1</v>
      </c>
      <c r="AI19" s="27">
        <v>2</v>
      </c>
      <c r="AJ19" s="27" t="s">
        <v>21</v>
      </c>
      <c r="AK19" s="27" t="s">
        <v>21</v>
      </c>
      <c r="AL19" s="27" t="s">
        <v>21</v>
      </c>
      <c r="AM19" s="27" t="s">
        <v>21</v>
      </c>
      <c r="AN19" s="27" t="s">
        <v>21</v>
      </c>
      <c r="AO19" s="27" t="s">
        <v>21</v>
      </c>
      <c r="AP19" s="27">
        <v>0</v>
      </c>
      <c r="AQ19" s="27">
        <v>1</v>
      </c>
      <c r="AR19" s="27">
        <v>1</v>
      </c>
      <c r="AS19" s="27">
        <v>1</v>
      </c>
      <c r="AT19" s="27">
        <v>1</v>
      </c>
      <c r="AU19" s="27">
        <v>1</v>
      </c>
      <c r="AV19" s="27">
        <v>2</v>
      </c>
      <c r="AW19" s="27">
        <v>1</v>
      </c>
      <c r="AX19" s="27">
        <v>0</v>
      </c>
      <c r="AY19" s="27">
        <v>1</v>
      </c>
      <c r="AZ19" s="27">
        <v>0</v>
      </c>
      <c r="BA19" s="27">
        <v>2</v>
      </c>
      <c r="BB19" s="27">
        <v>0</v>
      </c>
      <c r="BC19" s="27">
        <v>2</v>
      </c>
      <c r="BD19" s="27">
        <v>0</v>
      </c>
      <c r="BE19" s="27" t="s">
        <v>21</v>
      </c>
      <c r="BF19" s="27">
        <v>1</v>
      </c>
      <c r="BG19" s="27">
        <v>1</v>
      </c>
      <c r="BH19" s="27">
        <v>0</v>
      </c>
      <c r="BI19" s="27">
        <v>1</v>
      </c>
      <c r="BJ19" s="27">
        <v>0</v>
      </c>
      <c r="BK19" s="27">
        <v>0</v>
      </c>
      <c r="BL19" s="30">
        <v>3</v>
      </c>
      <c r="BM19" s="27">
        <v>0</v>
      </c>
      <c r="BN19" s="27">
        <v>1</v>
      </c>
      <c r="BO19" s="30">
        <v>3</v>
      </c>
      <c r="BP19" s="26">
        <v>0</v>
      </c>
      <c r="BQ19" s="27" t="s">
        <v>21</v>
      </c>
      <c r="BR19" s="26">
        <v>0</v>
      </c>
      <c r="BS19" s="29">
        <v>1</v>
      </c>
      <c r="BT19" s="26">
        <v>0</v>
      </c>
      <c r="BU19" s="29">
        <v>1</v>
      </c>
      <c r="BV19" s="26">
        <v>0</v>
      </c>
      <c r="BW19" s="27">
        <v>2</v>
      </c>
      <c r="BX19" s="26">
        <v>0</v>
      </c>
      <c r="BY19" s="29">
        <v>1</v>
      </c>
      <c r="BZ19" s="26">
        <v>1</v>
      </c>
    </row>
    <row r="20" spans="1:78" ht="16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ht="16.5">
      <c r="A21" s="50" t="s">
        <v>44</v>
      </c>
      <c r="B21" s="3" t="s">
        <v>22</v>
      </c>
      <c r="C21" s="70" t="s">
        <v>23</v>
      </c>
      <c r="D21" s="70"/>
      <c r="E21" s="70"/>
      <c r="F21" s="70"/>
      <c r="G21" s="1"/>
      <c r="H21" s="77" t="s">
        <v>20</v>
      </c>
      <c r="I21" s="78"/>
      <c r="J21" s="1"/>
      <c r="K21" s="2"/>
      <c r="L21" s="2"/>
      <c r="M21" s="1"/>
      <c r="N21" s="79" t="s">
        <v>5</v>
      </c>
      <c r="O21" s="78"/>
      <c r="P21" s="1"/>
      <c r="Q21" s="2"/>
      <c r="R21" s="2"/>
      <c r="S21" s="1"/>
      <c r="T21" s="70" t="s">
        <v>1</v>
      </c>
      <c r="U21" s="70"/>
      <c r="V21" s="70"/>
      <c r="W21" s="70"/>
      <c r="X21" s="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4">
        <v>2012</v>
      </c>
    </row>
    <row r="22" spans="1:78" ht="16.5" customHeight="1">
      <c r="A22" s="1"/>
      <c r="B22" s="5" t="s">
        <v>6</v>
      </c>
      <c r="C22" s="75" t="s">
        <v>7</v>
      </c>
      <c r="D22" s="76"/>
      <c r="E22" s="6" t="s">
        <v>8</v>
      </c>
      <c r="F22" s="7" t="s">
        <v>9</v>
      </c>
      <c r="G22" s="1"/>
      <c r="H22" s="8" t="s">
        <v>10</v>
      </c>
      <c r="I22" s="9" t="s">
        <v>11</v>
      </c>
      <c r="J22" s="1"/>
      <c r="K22" s="2"/>
      <c r="L22" s="2"/>
      <c r="M22" s="1"/>
      <c r="N22" s="10" t="s">
        <v>12</v>
      </c>
      <c r="O22" s="11" t="s">
        <v>11</v>
      </c>
      <c r="P22" s="1"/>
      <c r="Q22" s="2"/>
      <c r="R22" s="2"/>
      <c r="S22" s="1"/>
      <c r="T22" s="71" t="s">
        <v>7</v>
      </c>
      <c r="U22" s="71"/>
      <c r="V22" s="7" t="s">
        <v>8</v>
      </c>
      <c r="W22" s="7" t="s">
        <v>13</v>
      </c>
      <c r="X22" s="1"/>
      <c r="Y22" s="12">
        <f>Z22+1</f>
        <v>236</v>
      </c>
      <c r="Z22" s="12">
        <f>AA22+1</f>
        <v>235</v>
      </c>
      <c r="AA22" s="12">
        <f>AB22+1</f>
        <v>234</v>
      </c>
      <c r="AB22" s="12">
        <f>AC22+1</f>
        <v>233</v>
      </c>
      <c r="AC22" s="12">
        <f>AD22+1</f>
        <v>232</v>
      </c>
      <c r="AD22" s="12">
        <f>AE22+1</f>
        <v>231</v>
      </c>
      <c r="AE22" s="12">
        <f aca="true" t="shared" si="8" ref="AE22:BS22">AF22+1</f>
        <v>230</v>
      </c>
      <c r="AF22" s="12">
        <f t="shared" si="8"/>
        <v>229</v>
      </c>
      <c r="AG22" s="12">
        <f t="shared" si="8"/>
        <v>228</v>
      </c>
      <c r="AH22" s="12">
        <f t="shared" si="8"/>
        <v>227</v>
      </c>
      <c r="AI22" s="12">
        <f t="shared" si="8"/>
        <v>226</v>
      </c>
      <c r="AJ22" s="12">
        <f t="shared" si="8"/>
        <v>225</v>
      </c>
      <c r="AK22" s="12">
        <f t="shared" si="8"/>
        <v>224</v>
      </c>
      <c r="AL22" s="12">
        <f t="shared" si="8"/>
        <v>223</v>
      </c>
      <c r="AM22" s="12">
        <f t="shared" si="8"/>
        <v>222</v>
      </c>
      <c r="AN22" s="12">
        <f t="shared" si="8"/>
        <v>221</v>
      </c>
      <c r="AO22" s="12">
        <f t="shared" si="8"/>
        <v>220</v>
      </c>
      <c r="AP22" s="12">
        <f t="shared" si="8"/>
        <v>219</v>
      </c>
      <c r="AQ22" s="12">
        <f t="shared" si="8"/>
        <v>218</v>
      </c>
      <c r="AR22" s="12">
        <f t="shared" si="8"/>
        <v>217</v>
      </c>
      <c r="AS22" s="12">
        <f t="shared" si="8"/>
        <v>216</v>
      </c>
      <c r="AT22" s="12">
        <f t="shared" si="8"/>
        <v>215</v>
      </c>
      <c r="AU22" s="12">
        <f t="shared" si="8"/>
        <v>214</v>
      </c>
      <c r="AV22" s="12">
        <f t="shared" si="8"/>
        <v>213</v>
      </c>
      <c r="AW22" s="12">
        <f t="shared" si="8"/>
        <v>212</v>
      </c>
      <c r="AX22" s="12">
        <f t="shared" si="8"/>
        <v>211</v>
      </c>
      <c r="AY22" s="12">
        <f t="shared" si="8"/>
        <v>210</v>
      </c>
      <c r="AZ22" s="12">
        <f t="shared" si="8"/>
        <v>209</v>
      </c>
      <c r="BA22" s="12">
        <f t="shared" si="8"/>
        <v>208</v>
      </c>
      <c r="BB22" s="12">
        <f t="shared" si="8"/>
        <v>207</v>
      </c>
      <c r="BC22" s="13">
        <f t="shared" si="8"/>
        <v>206</v>
      </c>
      <c r="BD22" s="13">
        <f t="shared" si="8"/>
        <v>205</v>
      </c>
      <c r="BE22" s="12">
        <f t="shared" si="8"/>
        <v>204</v>
      </c>
      <c r="BF22" s="13">
        <f t="shared" si="8"/>
        <v>203</v>
      </c>
      <c r="BG22" s="12">
        <f t="shared" si="8"/>
        <v>202</v>
      </c>
      <c r="BH22" s="13">
        <f t="shared" si="8"/>
        <v>201</v>
      </c>
      <c r="BI22" s="12">
        <f t="shared" si="8"/>
        <v>200</v>
      </c>
      <c r="BJ22" s="12">
        <f t="shared" si="8"/>
        <v>199</v>
      </c>
      <c r="BK22" s="12">
        <f t="shared" si="8"/>
        <v>198</v>
      </c>
      <c r="BL22" s="12">
        <f t="shared" si="8"/>
        <v>197</v>
      </c>
      <c r="BM22" s="12">
        <f t="shared" si="8"/>
        <v>196</v>
      </c>
      <c r="BN22" s="12">
        <f t="shared" si="8"/>
        <v>195</v>
      </c>
      <c r="BO22" s="12">
        <f t="shared" si="8"/>
        <v>194</v>
      </c>
      <c r="BP22" s="12">
        <f t="shared" si="8"/>
        <v>193</v>
      </c>
      <c r="BQ22" s="12">
        <f t="shared" si="8"/>
        <v>192</v>
      </c>
      <c r="BR22" s="12">
        <f t="shared" si="8"/>
        <v>191</v>
      </c>
      <c r="BS22" s="12">
        <f t="shared" si="8"/>
        <v>190</v>
      </c>
      <c r="BT22" s="12">
        <f aca="true" t="shared" si="9" ref="BT22:BY22">BU22+1</f>
        <v>189</v>
      </c>
      <c r="BU22" s="12">
        <f t="shared" si="9"/>
        <v>188</v>
      </c>
      <c r="BV22" s="12">
        <f t="shared" si="9"/>
        <v>187</v>
      </c>
      <c r="BW22" s="12">
        <f t="shared" si="9"/>
        <v>186</v>
      </c>
      <c r="BX22" s="12">
        <f t="shared" si="9"/>
        <v>185</v>
      </c>
      <c r="BY22" s="12">
        <f t="shared" si="9"/>
        <v>184</v>
      </c>
      <c r="BZ22" s="12">
        <v>183</v>
      </c>
    </row>
    <row r="23" spans="1:78" ht="14.25" customHeight="1">
      <c r="A23" s="14"/>
      <c r="B23" s="15" t="s">
        <v>14</v>
      </c>
      <c r="C23" s="16">
        <f>E23*7.8/F23</f>
        <v>1.5599999999999998</v>
      </c>
      <c r="D23" s="17" t="s">
        <v>15</v>
      </c>
      <c r="E23" s="18">
        <f>SUM(X23:AR23)</f>
        <v>13</v>
      </c>
      <c r="F23" s="19">
        <f>COUNTIF(X23:AR23,"&gt;=0")*5</f>
        <v>65</v>
      </c>
      <c r="H23" s="20">
        <f>COUNTIF(X23:BZ23,"=2")+COUNTIF(X23:BZ23,"=3")*3+COUNTIF(X23:BZ23,"=4")*6+COUNTIF(X23:BZ23,"=5")*10</f>
        <v>15</v>
      </c>
      <c r="I23" s="21">
        <f>(H23*5300)/(W23*800)</f>
        <v>2.2083333333333335</v>
      </c>
      <c r="J23" s="2"/>
      <c r="K23" s="2"/>
      <c r="L23" s="2"/>
      <c r="M23" s="2"/>
      <c r="N23" s="20">
        <f>COUNTIF(X23:BZ23,"=3")+COUNTIF(X23:BZ23,"=4")*4+COUNTIF(X23:BZ23,"=5")*10</f>
        <v>3</v>
      </c>
      <c r="O23" s="21">
        <f>(N23*56000)/(W23*700)</f>
        <v>5.333333333333333</v>
      </c>
      <c r="P23" s="2"/>
      <c r="Q23" s="2"/>
      <c r="R23" s="2"/>
      <c r="S23" s="2"/>
      <c r="T23" s="22">
        <f>V23*7.8/(W23*5)</f>
        <v>1.5253333333333332</v>
      </c>
      <c r="U23" s="23" t="s">
        <v>16</v>
      </c>
      <c r="V23" s="18">
        <f>SUM(X23:BZ23)</f>
        <v>44</v>
      </c>
      <c r="W23" s="18">
        <f>COUNTIF(X23:BZ23,"&gt;=0")</f>
        <v>45</v>
      </c>
      <c r="Y23" s="24">
        <v>0</v>
      </c>
      <c r="Z23" s="24">
        <v>1</v>
      </c>
      <c r="AA23" s="24">
        <v>2</v>
      </c>
      <c r="AB23" s="24">
        <v>2</v>
      </c>
      <c r="AC23" s="24">
        <v>1</v>
      </c>
      <c r="AD23" s="24" t="s">
        <v>21</v>
      </c>
      <c r="AE23" s="24">
        <v>1</v>
      </c>
      <c r="AF23" s="24">
        <v>0</v>
      </c>
      <c r="AG23" s="24">
        <v>1</v>
      </c>
      <c r="AH23" s="24">
        <v>1</v>
      </c>
      <c r="AI23" s="24">
        <v>2</v>
      </c>
      <c r="AJ23" s="24" t="s">
        <v>21</v>
      </c>
      <c r="AK23" s="24" t="s">
        <v>21</v>
      </c>
      <c r="AL23" s="24" t="s">
        <v>21</v>
      </c>
      <c r="AM23" s="24" t="s">
        <v>21</v>
      </c>
      <c r="AN23" s="24" t="s">
        <v>21</v>
      </c>
      <c r="AO23" s="24" t="s">
        <v>21</v>
      </c>
      <c r="AP23" s="24">
        <v>0</v>
      </c>
      <c r="AQ23" s="24">
        <v>1</v>
      </c>
      <c r="AR23" s="24">
        <v>1</v>
      </c>
      <c r="AS23" s="24">
        <v>1</v>
      </c>
      <c r="AT23" s="24">
        <v>1</v>
      </c>
      <c r="AU23" s="24">
        <v>1</v>
      </c>
      <c r="AV23" s="24">
        <v>2</v>
      </c>
      <c r="AW23" s="24">
        <v>1</v>
      </c>
      <c r="AX23" s="24">
        <v>0</v>
      </c>
      <c r="AY23" s="24">
        <v>2</v>
      </c>
      <c r="AZ23" s="24">
        <v>0</v>
      </c>
      <c r="BA23" s="24">
        <v>2</v>
      </c>
      <c r="BB23" s="24">
        <v>0</v>
      </c>
      <c r="BC23" s="30">
        <v>3</v>
      </c>
      <c r="BD23" s="24">
        <v>0</v>
      </c>
      <c r="BE23" s="24" t="s">
        <v>21</v>
      </c>
      <c r="BF23" s="24">
        <v>1</v>
      </c>
      <c r="BG23" s="24">
        <v>1</v>
      </c>
      <c r="BH23" s="24">
        <v>1</v>
      </c>
      <c r="BI23" s="24">
        <v>1</v>
      </c>
      <c r="BJ23" s="24">
        <v>0</v>
      </c>
      <c r="BK23" s="24">
        <v>0</v>
      </c>
      <c r="BL23" s="30">
        <v>3</v>
      </c>
      <c r="BM23" s="24">
        <v>1</v>
      </c>
      <c r="BN23" s="24">
        <v>1</v>
      </c>
      <c r="BO23" s="30">
        <v>3</v>
      </c>
      <c r="BP23" s="24">
        <v>0</v>
      </c>
      <c r="BQ23" s="24" t="s">
        <v>21</v>
      </c>
      <c r="BR23" s="24">
        <v>0</v>
      </c>
      <c r="BS23" s="24">
        <v>1</v>
      </c>
      <c r="BT23" s="24">
        <v>0</v>
      </c>
      <c r="BU23" s="25">
        <v>1</v>
      </c>
      <c r="BV23" s="25">
        <v>1</v>
      </c>
      <c r="BW23" s="25">
        <v>1</v>
      </c>
      <c r="BX23" s="26">
        <v>0</v>
      </c>
      <c r="BY23" s="25">
        <v>1</v>
      </c>
      <c r="BZ23" s="25">
        <v>1</v>
      </c>
    </row>
    <row r="24" spans="1:78" ht="16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ht="16.5">
      <c r="A25" s="1"/>
      <c r="B25" s="3" t="s">
        <v>24</v>
      </c>
      <c r="C25" s="70" t="s">
        <v>25</v>
      </c>
      <c r="D25" s="70"/>
      <c r="E25" s="70"/>
      <c r="F25" s="70"/>
      <c r="G25" s="1"/>
      <c r="H25" s="77" t="s">
        <v>20</v>
      </c>
      <c r="I25" s="78"/>
      <c r="J25" s="42"/>
      <c r="K25" s="36" t="s">
        <v>43</v>
      </c>
      <c r="L25" s="37"/>
      <c r="M25" s="1"/>
      <c r="N25" s="79" t="s">
        <v>5</v>
      </c>
      <c r="O25" s="78"/>
      <c r="P25" s="42"/>
      <c r="Q25" s="36" t="s">
        <v>41</v>
      </c>
      <c r="R25" s="37"/>
      <c r="S25" s="1"/>
      <c r="T25" s="70" t="s">
        <v>1</v>
      </c>
      <c r="U25" s="70"/>
      <c r="V25" s="70"/>
      <c r="W25" s="70"/>
      <c r="X25" s="1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4">
        <v>2012</v>
      </c>
    </row>
    <row r="26" spans="1:78" ht="16.5" customHeight="1">
      <c r="A26" s="1"/>
      <c r="B26" s="31" t="s">
        <v>26</v>
      </c>
      <c r="C26" s="75" t="s">
        <v>7</v>
      </c>
      <c r="D26" s="76"/>
      <c r="E26" s="6" t="s">
        <v>8</v>
      </c>
      <c r="F26" s="7" t="s">
        <v>9</v>
      </c>
      <c r="G26" s="1"/>
      <c r="H26" s="8" t="s">
        <v>10</v>
      </c>
      <c r="I26" s="9" t="s">
        <v>11</v>
      </c>
      <c r="J26" s="43"/>
      <c r="K26" s="38" t="s">
        <v>36</v>
      </c>
      <c r="L26" s="39" t="s">
        <v>35</v>
      </c>
      <c r="M26" s="1"/>
      <c r="N26" s="10" t="s">
        <v>12</v>
      </c>
      <c r="O26" s="11" t="s">
        <v>11</v>
      </c>
      <c r="P26" s="43"/>
      <c r="Q26" s="38" t="s">
        <v>36</v>
      </c>
      <c r="R26" s="39" t="s">
        <v>35</v>
      </c>
      <c r="S26" s="1"/>
      <c r="T26" s="71" t="s">
        <v>7</v>
      </c>
      <c r="U26" s="71"/>
      <c r="V26" s="7" t="s">
        <v>8</v>
      </c>
      <c r="W26" s="7" t="s">
        <v>13</v>
      </c>
      <c r="X26" s="1"/>
      <c r="Y26" s="12">
        <f>Z26+1</f>
        <v>236</v>
      </c>
      <c r="Z26" s="12">
        <f>AA26+1</f>
        <v>235</v>
      </c>
      <c r="AA26" s="12">
        <f>AB26+1</f>
        <v>234</v>
      </c>
      <c r="AB26" s="12">
        <f>AC26+1</f>
        <v>233</v>
      </c>
      <c r="AC26" s="12">
        <f>AD26+1</f>
        <v>232</v>
      </c>
      <c r="AD26" s="12">
        <f>AE26+1</f>
        <v>231</v>
      </c>
      <c r="AE26" s="12">
        <f aca="true" t="shared" si="10" ref="AE26:BS26">AF26+1</f>
        <v>230</v>
      </c>
      <c r="AF26" s="12">
        <f t="shared" si="10"/>
        <v>229</v>
      </c>
      <c r="AG26" s="12">
        <f t="shared" si="10"/>
        <v>228</v>
      </c>
      <c r="AH26" s="12">
        <f t="shared" si="10"/>
        <v>227</v>
      </c>
      <c r="AI26" s="12">
        <f t="shared" si="10"/>
        <v>226</v>
      </c>
      <c r="AJ26" s="12">
        <f t="shared" si="10"/>
        <v>225</v>
      </c>
      <c r="AK26" s="12">
        <f t="shared" si="10"/>
        <v>224</v>
      </c>
      <c r="AL26" s="12">
        <f t="shared" si="10"/>
        <v>223</v>
      </c>
      <c r="AM26" s="12">
        <f t="shared" si="10"/>
        <v>222</v>
      </c>
      <c r="AN26" s="12">
        <f t="shared" si="10"/>
        <v>221</v>
      </c>
      <c r="AO26" s="12">
        <f t="shared" si="10"/>
        <v>220</v>
      </c>
      <c r="AP26" s="12">
        <f t="shared" si="10"/>
        <v>219</v>
      </c>
      <c r="AQ26" s="12">
        <f t="shared" si="10"/>
        <v>218</v>
      </c>
      <c r="AR26" s="12">
        <f t="shared" si="10"/>
        <v>217</v>
      </c>
      <c r="AS26" s="12">
        <f t="shared" si="10"/>
        <v>216</v>
      </c>
      <c r="AT26" s="12">
        <f t="shared" si="10"/>
        <v>215</v>
      </c>
      <c r="AU26" s="12">
        <f t="shared" si="10"/>
        <v>214</v>
      </c>
      <c r="AV26" s="12">
        <f t="shared" si="10"/>
        <v>213</v>
      </c>
      <c r="AW26" s="12">
        <f t="shared" si="10"/>
        <v>212</v>
      </c>
      <c r="AX26" s="12">
        <f t="shared" si="10"/>
        <v>211</v>
      </c>
      <c r="AY26" s="12">
        <f t="shared" si="10"/>
        <v>210</v>
      </c>
      <c r="AZ26" s="12">
        <f t="shared" si="10"/>
        <v>209</v>
      </c>
      <c r="BA26" s="12">
        <f t="shared" si="10"/>
        <v>208</v>
      </c>
      <c r="BB26" s="12">
        <f t="shared" si="10"/>
        <v>207</v>
      </c>
      <c r="BC26" s="13">
        <f t="shared" si="10"/>
        <v>206</v>
      </c>
      <c r="BD26" s="13">
        <f t="shared" si="10"/>
        <v>205</v>
      </c>
      <c r="BE26" s="12">
        <f t="shared" si="10"/>
        <v>204</v>
      </c>
      <c r="BF26" s="13">
        <f t="shared" si="10"/>
        <v>203</v>
      </c>
      <c r="BG26" s="12">
        <f t="shared" si="10"/>
        <v>202</v>
      </c>
      <c r="BH26" s="13">
        <f t="shared" si="10"/>
        <v>201</v>
      </c>
      <c r="BI26" s="12">
        <f t="shared" si="10"/>
        <v>200</v>
      </c>
      <c r="BJ26" s="12">
        <f t="shared" si="10"/>
        <v>199</v>
      </c>
      <c r="BK26" s="12">
        <f t="shared" si="10"/>
        <v>198</v>
      </c>
      <c r="BL26" s="12">
        <f t="shared" si="10"/>
        <v>197</v>
      </c>
      <c r="BM26" s="12">
        <f t="shared" si="10"/>
        <v>196</v>
      </c>
      <c r="BN26" s="12">
        <f t="shared" si="10"/>
        <v>195</v>
      </c>
      <c r="BO26" s="12">
        <f t="shared" si="10"/>
        <v>194</v>
      </c>
      <c r="BP26" s="12">
        <f t="shared" si="10"/>
        <v>193</v>
      </c>
      <c r="BQ26" s="12">
        <f t="shared" si="10"/>
        <v>192</v>
      </c>
      <c r="BR26" s="12">
        <f t="shared" si="10"/>
        <v>191</v>
      </c>
      <c r="BS26" s="12">
        <f t="shared" si="10"/>
        <v>190</v>
      </c>
      <c r="BT26" s="12">
        <f aca="true" t="shared" si="11" ref="BT26:BY26">BU26+1</f>
        <v>189</v>
      </c>
      <c r="BU26" s="12">
        <f t="shared" si="11"/>
        <v>188</v>
      </c>
      <c r="BV26" s="12">
        <f t="shared" si="11"/>
        <v>187</v>
      </c>
      <c r="BW26" s="12">
        <f t="shared" si="11"/>
        <v>186</v>
      </c>
      <c r="BX26" s="12">
        <f t="shared" si="11"/>
        <v>185</v>
      </c>
      <c r="BY26" s="12">
        <f t="shared" si="11"/>
        <v>184</v>
      </c>
      <c r="BZ26" s="12">
        <v>183</v>
      </c>
    </row>
    <row r="27" spans="1:78" ht="14.25" customHeight="1">
      <c r="A27" s="14"/>
      <c r="B27" s="32" t="s">
        <v>27</v>
      </c>
      <c r="C27" s="16">
        <f>E27*7.8/F27</f>
        <v>1.6545454545454545</v>
      </c>
      <c r="D27" s="17" t="s">
        <v>15</v>
      </c>
      <c r="E27" s="18">
        <f>SUM(X27:AP27)</f>
        <v>14</v>
      </c>
      <c r="F27" s="19">
        <f>COUNTIF(X27:AP27,"&gt;=0")*6</f>
        <v>66</v>
      </c>
      <c r="H27" s="20">
        <f>COUNTIF(X27:BZ27,"=2")+COUNTIF(X27:BZ27,"=3")*3+COUNTIF(X27:BZ27,"=4")*6+COUNTIF(X27:BZ27,"=5")*10</f>
        <v>22</v>
      </c>
      <c r="I27" s="21">
        <f>(H27*5300)/(W27*1200)</f>
        <v>2.1592592592592594</v>
      </c>
      <c r="J27" s="44"/>
      <c r="K27" s="49">
        <v>600</v>
      </c>
      <c r="L27" s="41">
        <f>(I27*K27*W27)-(K27*W27)</f>
        <v>31300.000000000007</v>
      </c>
      <c r="M27" s="2"/>
      <c r="N27" s="20">
        <f>COUNTIF(X27:BZ27,"=3")+COUNTIF(X27:BZ27,"=4")*4+COUNTIF(X27:BZ27,"=5")*10</f>
        <v>5</v>
      </c>
      <c r="O27" s="21">
        <f>(N27*56000)/(W27*1400)</f>
        <v>4.444444444444445</v>
      </c>
      <c r="P27" s="44"/>
      <c r="Q27" s="40">
        <v>700</v>
      </c>
      <c r="R27" s="41">
        <f>(O27*Q27*W27)-(Q27*W27)</f>
        <v>108500</v>
      </c>
      <c r="S27" s="2"/>
      <c r="T27" s="22">
        <f>V27*7.8/(W27*6)</f>
        <v>1.5022222222222221</v>
      </c>
      <c r="U27" s="23" t="s">
        <v>16</v>
      </c>
      <c r="V27" s="18">
        <f>SUM(X27:BZ27)</f>
        <v>52</v>
      </c>
      <c r="W27" s="18">
        <f>COUNTIF(X27:BZ27,"&gt;=0")</f>
        <v>45</v>
      </c>
      <c r="Y27" s="24">
        <v>1</v>
      </c>
      <c r="Z27" s="24">
        <v>1</v>
      </c>
      <c r="AA27" s="24">
        <v>2</v>
      </c>
      <c r="AB27" s="24">
        <v>2</v>
      </c>
      <c r="AC27" s="24">
        <v>1</v>
      </c>
      <c r="AD27" s="24" t="s">
        <v>21</v>
      </c>
      <c r="AE27" s="24">
        <v>1</v>
      </c>
      <c r="AF27" s="24">
        <v>1</v>
      </c>
      <c r="AG27" s="24">
        <v>1</v>
      </c>
      <c r="AH27" s="24">
        <v>1</v>
      </c>
      <c r="AI27" s="30">
        <v>3</v>
      </c>
      <c r="AJ27" s="24" t="s">
        <v>21</v>
      </c>
      <c r="AK27" s="24" t="s">
        <v>21</v>
      </c>
      <c r="AL27" s="24" t="s">
        <v>21</v>
      </c>
      <c r="AM27" s="24" t="s">
        <v>21</v>
      </c>
      <c r="AN27" s="24" t="s">
        <v>21</v>
      </c>
      <c r="AO27" s="24" t="s">
        <v>21</v>
      </c>
      <c r="AP27" s="24">
        <v>0</v>
      </c>
      <c r="AQ27" s="24">
        <v>1</v>
      </c>
      <c r="AR27" s="24">
        <v>1</v>
      </c>
      <c r="AS27" s="24">
        <v>2</v>
      </c>
      <c r="AT27" s="24">
        <v>1</v>
      </c>
      <c r="AU27" s="24">
        <v>1</v>
      </c>
      <c r="AV27" s="30">
        <v>3</v>
      </c>
      <c r="AW27" s="24">
        <v>1</v>
      </c>
      <c r="AX27" s="24">
        <v>0</v>
      </c>
      <c r="AY27" s="24">
        <v>2</v>
      </c>
      <c r="AZ27" s="24">
        <v>0</v>
      </c>
      <c r="BA27" s="24">
        <v>2</v>
      </c>
      <c r="BB27" s="24">
        <v>0</v>
      </c>
      <c r="BC27" s="30">
        <v>3</v>
      </c>
      <c r="BD27" s="24">
        <v>0</v>
      </c>
      <c r="BE27" s="24" t="s">
        <v>21</v>
      </c>
      <c r="BF27" s="24">
        <v>1</v>
      </c>
      <c r="BG27" s="24">
        <v>1</v>
      </c>
      <c r="BH27" s="24">
        <v>1</v>
      </c>
      <c r="BI27" s="24">
        <v>1</v>
      </c>
      <c r="BJ27" s="24">
        <v>0</v>
      </c>
      <c r="BK27" s="24">
        <v>0</v>
      </c>
      <c r="BL27" s="30">
        <v>3</v>
      </c>
      <c r="BM27" s="24">
        <v>1</v>
      </c>
      <c r="BN27" s="24">
        <v>1</v>
      </c>
      <c r="BO27" s="30">
        <v>3</v>
      </c>
      <c r="BP27" s="24">
        <v>1</v>
      </c>
      <c r="BQ27" s="24" t="s">
        <v>21</v>
      </c>
      <c r="BR27" s="24">
        <v>0</v>
      </c>
      <c r="BS27" s="24">
        <v>1</v>
      </c>
      <c r="BT27" s="24">
        <v>0</v>
      </c>
      <c r="BU27" s="24">
        <v>2</v>
      </c>
      <c r="BV27" s="25">
        <v>1</v>
      </c>
      <c r="BW27" s="24">
        <v>2</v>
      </c>
      <c r="BX27" s="26">
        <v>0</v>
      </c>
      <c r="BY27" s="25">
        <v>1</v>
      </c>
      <c r="BZ27" s="25">
        <v>1</v>
      </c>
    </row>
    <row r="28" spans="1:78" ht="16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16.5">
      <c r="A29" s="1"/>
      <c r="B29" s="3" t="s">
        <v>28</v>
      </c>
      <c r="C29" s="70" t="s">
        <v>25</v>
      </c>
      <c r="D29" s="70"/>
      <c r="E29" s="70"/>
      <c r="F29" s="70"/>
      <c r="G29" s="1"/>
      <c r="H29" s="77" t="s">
        <v>20</v>
      </c>
      <c r="I29" s="78"/>
      <c r="J29" s="1"/>
      <c r="K29" s="79" t="s">
        <v>5</v>
      </c>
      <c r="L29" s="78"/>
      <c r="M29" s="1"/>
      <c r="N29" s="80" t="s">
        <v>29</v>
      </c>
      <c r="O29" s="81"/>
      <c r="P29" s="1"/>
      <c r="Q29" s="2"/>
      <c r="R29" s="2"/>
      <c r="S29" s="1"/>
      <c r="T29" s="70" t="s">
        <v>1</v>
      </c>
      <c r="U29" s="70"/>
      <c r="V29" s="70"/>
      <c r="W29" s="70"/>
      <c r="X29" s="1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4">
        <v>2012</v>
      </c>
    </row>
    <row r="30" spans="1:78" ht="16.5" customHeight="1">
      <c r="A30" s="1"/>
      <c r="B30" s="31" t="s">
        <v>26</v>
      </c>
      <c r="C30" s="75" t="s">
        <v>7</v>
      </c>
      <c r="D30" s="76"/>
      <c r="E30" s="6" t="s">
        <v>8</v>
      </c>
      <c r="F30" s="7" t="s">
        <v>9</v>
      </c>
      <c r="G30" s="1"/>
      <c r="H30" s="8" t="s">
        <v>10</v>
      </c>
      <c r="I30" s="9" t="s">
        <v>11</v>
      </c>
      <c r="J30" s="1"/>
      <c r="K30" s="10" t="s">
        <v>12</v>
      </c>
      <c r="L30" s="11" t="s">
        <v>11</v>
      </c>
      <c r="M30" s="1"/>
      <c r="N30" s="55" t="s">
        <v>30</v>
      </c>
      <c r="O30" s="56" t="s">
        <v>11</v>
      </c>
      <c r="P30" s="1"/>
      <c r="Q30" s="2"/>
      <c r="R30" s="2"/>
      <c r="S30" s="1"/>
      <c r="T30" s="71" t="s">
        <v>7</v>
      </c>
      <c r="U30" s="71"/>
      <c r="V30" s="7" t="s">
        <v>8</v>
      </c>
      <c r="W30" s="7" t="s">
        <v>13</v>
      </c>
      <c r="X30" s="1"/>
      <c r="Y30" s="12">
        <f>Z30+1</f>
        <v>236</v>
      </c>
      <c r="Z30" s="12">
        <f>AA30+1</f>
        <v>235</v>
      </c>
      <c r="AA30" s="12">
        <f>AB30+1</f>
        <v>234</v>
      </c>
      <c r="AB30" s="12">
        <f>AC30+1</f>
        <v>233</v>
      </c>
      <c r="AC30" s="12">
        <f>AD30+1</f>
        <v>232</v>
      </c>
      <c r="AD30" s="12">
        <f>AE30+1</f>
        <v>231</v>
      </c>
      <c r="AE30" s="12">
        <f aca="true" t="shared" si="12" ref="AE30:BS30">AF30+1</f>
        <v>230</v>
      </c>
      <c r="AF30" s="12">
        <f t="shared" si="12"/>
        <v>229</v>
      </c>
      <c r="AG30" s="12">
        <f t="shared" si="12"/>
        <v>228</v>
      </c>
      <c r="AH30" s="12">
        <f t="shared" si="12"/>
        <v>227</v>
      </c>
      <c r="AI30" s="12">
        <f t="shared" si="12"/>
        <v>226</v>
      </c>
      <c r="AJ30" s="12">
        <f t="shared" si="12"/>
        <v>225</v>
      </c>
      <c r="AK30" s="12">
        <f t="shared" si="12"/>
        <v>224</v>
      </c>
      <c r="AL30" s="12">
        <f t="shared" si="12"/>
        <v>223</v>
      </c>
      <c r="AM30" s="12">
        <f t="shared" si="12"/>
        <v>222</v>
      </c>
      <c r="AN30" s="12">
        <f t="shared" si="12"/>
        <v>221</v>
      </c>
      <c r="AO30" s="12">
        <f t="shared" si="12"/>
        <v>220</v>
      </c>
      <c r="AP30" s="12">
        <f t="shared" si="12"/>
        <v>219</v>
      </c>
      <c r="AQ30" s="12">
        <f t="shared" si="12"/>
        <v>218</v>
      </c>
      <c r="AR30" s="12">
        <f t="shared" si="12"/>
        <v>217</v>
      </c>
      <c r="AS30" s="12">
        <f t="shared" si="12"/>
        <v>216</v>
      </c>
      <c r="AT30" s="12">
        <f t="shared" si="12"/>
        <v>215</v>
      </c>
      <c r="AU30" s="12">
        <f t="shared" si="12"/>
        <v>214</v>
      </c>
      <c r="AV30" s="12">
        <f t="shared" si="12"/>
        <v>213</v>
      </c>
      <c r="AW30" s="12">
        <f t="shared" si="12"/>
        <v>212</v>
      </c>
      <c r="AX30" s="12">
        <f t="shared" si="12"/>
        <v>211</v>
      </c>
      <c r="AY30" s="12">
        <f t="shared" si="12"/>
        <v>210</v>
      </c>
      <c r="AZ30" s="12">
        <f t="shared" si="12"/>
        <v>209</v>
      </c>
      <c r="BA30" s="12">
        <f t="shared" si="12"/>
        <v>208</v>
      </c>
      <c r="BB30" s="12">
        <f t="shared" si="12"/>
        <v>207</v>
      </c>
      <c r="BC30" s="13">
        <f t="shared" si="12"/>
        <v>206</v>
      </c>
      <c r="BD30" s="13">
        <f t="shared" si="12"/>
        <v>205</v>
      </c>
      <c r="BE30" s="12">
        <f t="shared" si="12"/>
        <v>204</v>
      </c>
      <c r="BF30" s="13">
        <f t="shared" si="12"/>
        <v>203</v>
      </c>
      <c r="BG30" s="12">
        <f t="shared" si="12"/>
        <v>202</v>
      </c>
      <c r="BH30" s="13">
        <f t="shared" si="12"/>
        <v>201</v>
      </c>
      <c r="BI30" s="12">
        <f t="shared" si="12"/>
        <v>200</v>
      </c>
      <c r="BJ30" s="12">
        <f t="shared" si="12"/>
        <v>199</v>
      </c>
      <c r="BK30" s="12">
        <f t="shared" si="12"/>
        <v>198</v>
      </c>
      <c r="BL30" s="12">
        <f t="shared" si="12"/>
        <v>197</v>
      </c>
      <c r="BM30" s="12">
        <f t="shared" si="12"/>
        <v>196</v>
      </c>
      <c r="BN30" s="12">
        <f t="shared" si="12"/>
        <v>195</v>
      </c>
      <c r="BO30" s="12">
        <f t="shared" si="12"/>
        <v>194</v>
      </c>
      <c r="BP30" s="12">
        <f t="shared" si="12"/>
        <v>193</v>
      </c>
      <c r="BQ30" s="12">
        <f t="shared" si="12"/>
        <v>192</v>
      </c>
      <c r="BR30" s="12">
        <f t="shared" si="12"/>
        <v>191</v>
      </c>
      <c r="BS30" s="12">
        <f t="shared" si="12"/>
        <v>190</v>
      </c>
      <c r="BT30" s="12">
        <f aca="true" t="shared" si="13" ref="BT30:BY30">BU30+1</f>
        <v>189</v>
      </c>
      <c r="BU30" s="12">
        <f t="shared" si="13"/>
        <v>188</v>
      </c>
      <c r="BV30" s="12">
        <f t="shared" si="13"/>
        <v>187</v>
      </c>
      <c r="BW30" s="12">
        <f t="shared" si="13"/>
        <v>186</v>
      </c>
      <c r="BX30" s="12">
        <f t="shared" si="13"/>
        <v>185</v>
      </c>
      <c r="BY30" s="12">
        <f t="shared" si="13"/>
        <v>184</v>
      </c>
      <c r="BZ30" s="12">
        <v>183</v>
      </c>
    </row>
    <row r="31" spans="1:78" ht="14.25" customHeight="1">
      <c r="A31" s="14"/>
      <c r="B31" s="32" t="s">
        <v>27</v>
      </c>
      <c r="C31" s="16">
        <f>E31*7.8/F31</f>
        <v>1.2054545454545453</v>
      </c>
      <c r="D31" s="17" t="s">
        <v>15</v>
      </c>
      <c r="E31" s="18">
        <f>SUM(X31:AP31)</f>
        <v>17</v>
      </c>
      <c r="F31" s="19">
        <f>COUNTIF(X31:AP31,"&gt;=0")*10</f>
        <v>110</v>
      </c>
      <c r="H31" s="20">
        <f>COUNTIF(X31:BZ31,"=2")+COUNTIF(X31:BZ31,"=3")*3+COUNTIF(X31:BZ31,"=4")*6+COUNTIF(X31:BZ31,"=5")*10</f>
        <v>42</v>
      </c>
      <c r="I31" s="21">
        <f>(H31*5300)/(W31*3600)</f>
        <v>1.374074074074074</v>
      </c>
      <c r="J31" s="2"/>
      <c r="K31" s="20">
        <f>COUNTIF(X31:BZ31,"=3")+COUNTIF(X31:BZ31,"=4")*4+COUNTIF(X31:BZ31,"=5")*10</f>
        <v>12</v>
      </c>
      <c r="L31" s="21">
        <f>(K31*56000)/(W31*8400)</f>
        <v>1.7777777777777777</v>
      </c>
      <c r="M31" s="2"/>
      <c r="N31" s="20">
        <f>COUNTIF(X31:BZ31,"=4")+COUNTIF(X31:BZ31,"=5")*5</f>
        <v>1</v>
      </c>
      <c r="O31" s="21">
        <f>(N31*750000)/(W31*14700)</f>
        <v>1.1337868480725624</v>
      </c>
      <c r="P31" s="2"/>
      <c r="Q31" s="2"/>
      <c r="R31" s="2"/>
      <c r="S31" s="2"/>
      <c r="T31" s="22">
        <f>V31*7.8/(W31*10)</f>
        <v>1.248</v>
      </c>
      <c r="U31" s="23" t="s">
        <v>16</v>
      </c>
      <c r="V31" s="18">
        <f>SUM(X31:BZ31)</f>
        <v>72</v>
      </c>
      <c r="W31" s="18">
        <f>COUNTIF(X31:BZ31,"&gt;=0")</f>
        <v>45</v>
      </c>
      <c r="Y31" s="24">
        <v>1</v>
      </c>
      <c r="Z31" s="24">
        <v>1</v>
      </c>
      <c r="AA31" s="30">
        <v>3</v>
      </c>
      <c r="AB31" s="30">
        <v>3</v>
      </c>
      <c r="AC31" s="24">
        <v>1</v>
      </c>
      <c r="AD31" s="24" t="s">
        <v>21</v>
      </c>
      <c r="AE31" s="24">
        <v>1</v>
      </c>
      <c r="AF31" s="24">
        <v>2</v>
      </c>
      <c r="AG31" s="24">
        <v>1</v>
      </c>
      <c r="AH31" s="24">
        <v>1</v>
      </c>
      <c r="AI31" s="30">
        <v>3</v>
      </c>
      <c r="AJ31" s="24" t="s">
        <v>21</v>
      </c>
      <c r="AK31" s="24" t="s">
        <v>21</v>
      </c>
      <c r="AL31" s="24" t="s">
        <v>21</v>
      </c>
      <c r="AM31" s="24" t="s">
        <v>21</v>
      </c>
      <c r="AN31" s="24" t="s">
        <v>21</v>
      </c>
      <c r="AO31" s="24" t="s">
        <v>21</v>
      </c>
      <c r="AP31" s="24">
        <v>0</v>
      </c>
      <c r="AQ31" s="24">
        <v>2</v>
      </c>
      <c r="AR31" s="24">
        <v>1</v>
      </c>
      <c r="AS31" s="24">
        <v>2</v>
      </c>
      <c r="AT31" s="24">
        <v>1</v>
      </c>
      <c r="AU31" s="24">
        <v>2</v>
      </c>
      <c r="AV31" s="30">
        <v>3</v>
      </c>
      <c r="AW31" s="24">
        <v>1</v>
      </c>
      <c r="AX31" s="24">
        <v>1</v>
      </c>
      <c r="AY31" s="24">
        <v>2</v>
      </c>
      <c r="AZ31" s="24">
        <v>1</v>
      </c>
      <c r="BA31" s="33">
        <v>4</v>
      </c>
      <c r="BB31" s="24">
        <v>0</v>
      </c>
      <c r="BC31" s="30">
        <v>3</v>
      </c>
      <c r="BD31" s="24">
        <v>1</v>
      </c>
      <c r="BE31" s="24" t="s">
        <v>21</v>
      </c>
      <c r="BF31" s="24">
        <v>1</v>
      </c>
      <c r="BG31" s="30">
        <v>3</v>
      </c>
      <c r="BH31" s="24">
        <v>1</v>
      </c>
      <c r="BI31" s="24">
        <v>1</v>
      </c>
      <c r="BJ31" s="24">
        <v>2</v>
      </c>
      <c r="BK31" s="24">
        <v>2</v>
      </c>
      <c r="BL31" s="30">
        <v>3</v>
      </c>
      <c r="BM31" s="24">
        <v>1</v>
      </c>
      <c r="BN31" s="24">
        <v>1</v>
      </c>
      <c r="BO31" s="30">
        <v>3</v>
      </c>
      <c r="BP31" s="24">
        <v>1</v>
      </c>
      <c r="BQ31" s="24" t="s">
        <v>21</v>
      </c>
      <c r="BR31" s="24">
        <v>1</v>
      </c>
      <c r="BS31" s="24">
        <v>1</v>
      </c>
      <c r="BT31" s="24">
        <v>0</v>
      </c>
      <c r="BU31" s="24">
        <v>2</v>
      </c>
      <c r="BV31" s="24">
        <v>2</v>
      </c>
      <c r="BW31" s="24">
        <v>2</v>
      </c>
      <c r="BX31" s="26">
        <v>0</v>
      </c>
      <c r="BY31" s="24">
        <v>2</v>
      </c>
      <c r="BZ31" s="24">
        <v>2</v>
      </c>
    </row>
    <row r="32" spans="1:78" ht="16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16.5">
      <c r="A33" s="1"/>
      <c r="B33" s="3" t="s">
        <v>31</v>
      </c>
      <c r="C33" s="70" t="s">
        <v>25</v>
      </c>
      <c r="D33" s="70"/>
      <c r="E33" s="70"/>
      <c r="F33" s="70"/>
      <c r="G33" s="1"/>
      <c r="H33" s="77" t="s">
        <v>20</v>
      </c>
      <c r="I33" s="78"/>
      <c r="J33" s="1"/>
      <c r="K33" s="79" t="s">
        <v>5</v>
      </c>
      <c r="L33" s="78"/>
      <c r="M33" s="1"/>
      <c r="N33" s="80" t="s">
        <v>29</v>
      </c>
      <c r="O33" s="81"/>
      <c r="P33" s="1"/>
      <c r="Q33" s="2"/>
      <c r="R33" s="2"/>
      <c r="S33" s="1"/>
      <c r="T33" s="70" t="s">
        <v>1</v>
      </c>
      <c r="U33" s="70"/>
      <c r="V33" s="70"/>
      <c r="W33" s="70"/>
      <c r="X33" s="1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4">
        <v>2012</v>
      </c>
    </row>
    <row r="34" spans="1:78" ht="16.5" customHeight="1">
      <c r="A34" s="1"/>
      <c r="B34" s="31" t="s">
        <v>26</v>
      </c>
      <c r="C34" s="75" t="s">
        <v>7</v>
      </c>
      <c r="D34" s="76"/>
      <c r="E34" s="6" t="s">
        <v>8</v>
      </c>
      <c r="F34" s="7" t="s">
        <v>9</v>
      </c>
      <c r="G34" s="1"/>
      <c r="H34" s="8" t="s">
        <v>10</v>
      </c>
      <c r="I34" s="9" t="s">
        <v>11</v>
      </c>
      <c r="J34" s="1"/>
      <c r="K34" s="10" t="s">
        <v>12</v>
      </c>
      <c r="L34" s="11" t="s">
        <v>11</v>
      </c>
      <c r="M34" s="1"/>
      <c r="N34" s="55" t="s">
        <v>30</v>
      </c>
      <c r="O34" s="56" t="s">
        <v>11</v>
      </c>
      <c r="P34" s="2"/>
      <c r="Q34" s="2"/>
      <c r="R34" s="2"/>
      <c r="S34" s="1"/>
      <c r="T34" s="71" t="s">
        <v>7</v>
      </c>
      <c r="U34" s="71"/>
      <c r="V34" s="7" t="s">
        <v>8</v>
      </c>
      <c r="W34" s="7" t="s">
        <v>13</v>
      </c>
      <c r="X34" s="1"/>
      <c r="Y34" s="12">
        <f>Z34+1</f>
        <v>236</v>
      </c>
      <c r="Z34" s="12">
        <f>AA34+1</f>
        <v>235</v>
      </c>
      <c r="AA34" s="12">
        <f>AB34+1</f>
        <v>234</v>
      </c>
      <c r="AB34" s="12">
        <f>AC34+1</f>
        <v>233</v>
      </c>
      <c r="AC34" s="12">
        <f>AD34+1</f>
        <v>232</v>
      </c>
      <c r="AD34" s="12">
        <f>AE34+1</f>
        <v>231</v>
      </c>
      <c r="AE34" s="12">
        <f aca="true" t="shared" si="14" ref="AE34:BS34">AF34+1</f>
        <v>230</v>
      </c>
      <c r="AF34" s="12">
        <f t="shared" si="14"/>
        <v>229</v>
      </c>
      <c r="AG34" s="12">
        <f t="shared" si="14"/>
        <v>228</v>
      </c>
      <c r="AH34" s="12">
        <f t="shared" si="14"/>
        <v>227</v>
      </c>
      <c r="AI34" s="12">
        <f t="shared" si="14"/>
        <v>226</v>
      </c>
      <c r="AJ34" s="12">
        <f t="shared" si="14"/>
        <v>225</v>
      </c>
      <c r="AK34" s="12">
        <f t="shared" si="14"/>
        <v>224</v>
      </c>
      <c r="AL34" s="12">
        <f t="shared" si="14"/>
        <v>223</v>
      </c>
      <c r="AM34" s="12">
        <f t="shared" si="14"/>
        <v>222</v>
      </c>
      <c r="AN34" s="12">
        <f t="shared" si="14"/>
        <v>221</v>
      </c>
      <c r="AO34" s="12">
        <f t="shared" si="14"/>
        <v>220</v>
      </c>
      <c r="AP34" s="12">
        <f t="shared" si="14"/>
        <v>219</v>
      </c>
      <c r="AQ34" s="12">
        <f t="shared" si="14"/>
        <v>218</v>
      </c>
      <c r="AR34" s="12">
        <f t="shared" si="14"/>
        <v>217</v>
      </c>
      <c r="AS34" s="12">
        <f t="shared" si="14"/>
        <v>216</v>
      </c>
      <c r="AT34" s="12">
        <f t="shared" si="14"/>
        <v>215</v>
      </c>
      <c r="AU34" s="12">
        <f t="shared" si="14"/>
        <v>214</v>
      </c>
      <c r="AV34" s="12">
        <f t="shared" si="14"/>
        <v>213</v>
      </c>
      <c r="AW34" s="12">
        <f t="shared" si="14"/>
        <v>212</v>
      </c>
      <c r="AX34" s="12">
        <f t="shared" si="14"/>
        <v>211</v>
      </c>
      <c r="AY34" s="12">
        <f t="shared" si="14"/>
        <v>210</v>
      </c>
      <c r="AZ34" s="12">
        <f t="shared" si="14"/>
        <v>209</v>
      </c>
      <c r="BA34" s="12">
        <f t="shared" si="14"/>
        <v>208</v>
      </c>
      <c r="BB34" s="12">
        <f t="shared" si="14"/>
        <v>207</v>
      </c>
      <c r="BC34" s="13">
        <f t="shared" si="14"/>
        <v>206</v>
      </c>
      <c r="BD34" s="13">
        <f t="shared" si="14"/>
        <v>205</v>
      </c>
      <c r="BE34" s="12">
        <f t="shared" si="14"/>
        <v>204</v>
      </c>
      <c r="BF34" s="13">
        <f t="shared" si="14"/>
        <v>203</v>
      </c>
      <c r="BG34" s="12">
        <f t="shared" si="14"/>
        <v>202</v>
      </c>
      <c r="BH34" s="13">
        <f t="shared" si="14"/>
        <v>201</v>
      </c>
      <c r="BI34" s="12">
        <f t="shared" si="14"/>
        <v>200</v>
      </c>
      <c r="BJ34" s="12">
        <f t="shared" si="14"/>
        <v>199</v>
      </c>
      <c r="BK34" s="12">
        <f t="shared" si="14"/>
        <v>198</v>
      </c>
      <c r="BL34" s="12">
        <f t="shared" si="14"/>
        <v>197</v>
      </c>
      <c r="BM34" s="12">
        <f t="shared" si="14"/>
        <v>196</v>
      </c>
      <c r="BN34" s="12">
        <f t="shared" si="14"/>
        <v>195</v>
      </c>
      <c r="BO34" s="12">
        <f t="shared" si="14"/>
        <v>194</v>
      </c>
      <c r="BP34" s="12">
        <f t="shared" si="14"/>
        <v>193</v>
      </c>
      <c r="BQ34" s="12">
        <f t="shared" si="14"/>
        <v>192</v>
      </c>
      <c r="BR34" s="12">
        <f t="shared" si="14"/>
        <v>191</v>
      </c>
      <c r="BS34" s="12">
        <f t="shared" si="14"/>
        <v>190</v>
      </c>
      <c r="BT34" s="12">
        <f aca="true" t="shared" si="15" ref="BT34:BY34">BU34+1</f>
        <v>189</v>
      </c>
      <c r="BU34" s="12">
        <f t="shared" si="15"/>
        <v>188</v>
      </c>
      <c r="BV34" s="12">
        <f t="shared" si="15"/>
        <v>187</v>
      </c>
      <c r="BW34" s="12">
        <f t="shared" si="15"/>
        <v>186</v>
      </c>
      <c r="BX34" s="12">
        <f t="shared" si="15"/>
        <v>185</v>
      </c>
      <c r="BY34" s="12">
        <f t="shared" si="15"/>
        <v>184</v>
      </c>
      <c r="BZ34" s="12">
        <v>183</v>
      </c>
    </row>
    <row r="35" spans="1:78" ht="14.25" customHeight="1">
      <c r="A35" s="14"/>
      <c r="B35" s="32" t="s">
        <v>27</v>
      </c>
      <c r="C35" s="16">
        <f>E35*7.8/F35</f>
        <v>1.2409090909090907</v>
      </c>
      <c r="D35" s="17" t="s">
        <v>15</v>
      </c>
      <c r="E35" s="18">
        <f>SUM(X35:AP35)</f>
        <v>21</v>
      </c>
      <c r="F35" s="19">
        <f>COUNTIF(X35:AP35,"&gt;=0")*12</f>
        <v>132</v>
      </c>
      <c r="H35" s="20">
        <f>COUNTIF(X35:BZ35,"=2")+COUNTIF(X35:BZ35,"=3")*3+COUNTIF(X35:BZ35,"=4")*6+COUNTIF(X35:BZ35,"=5")*10</f>
        <v>54</v>
      </c>
      <c r="I35" s="21">
        <f>(H35*5300)/(W35*5280)</f>
        <v>1.2045454545454546</v>
      </c>
      <c r="J35" s="2"/>
      <c r="K35" s="20">
        <f>COUNTIF(X35:BZ35,"=3")+COUNTIF(X35:BZ35,"=4")*4+COUNTIF(X35:BZ35,"=5")*10</f>
        <v>17</v>
      </c>
      <c r="L35" s="21">
        <f>(K35*56000)/(W35*15400)</f>
        <v>1.3737373737373737</v>
      </c>
      <c r="M35" s="2"/>
      <c r="N35" s="20">
        <f>COUNTIF(X35:BZ35,"=4")+COUNTIF(X35:BZ35,"=5")*5</f>
        <v>2</v>
      </c>
      <c r="O35" s="21">
        <f>(N35*750000)/(W35*34650)</f>
        <v>0.962000962000962</v>
      </c>
      <c r="P35" s="2"/>
      <c r="Q35" s="2"/>
      <c r="R35" s="2"/>
      <c r="S35" s="2"/>
      <c r="T35" s="22">
        <f>V35*7.8/(W35*12)</f>
        <v>1.1555555555555554</v>
      </c>
      <c r="U35" s="23" t="s">
        <v>16</v>
      </c>
      <c r="V35" s="18">
        <f>SUM(X35:BZ35)</f>
        <v>80</v>
      </c>
      <c r="W35" s="18">
        <f>COUNTIF(X35:BZ35,"&gt;=0")</f>
        <v>45</v>
      </c>
      <c r="Y35" s="24">
        <v>2</v>
      </c>
      <c r="Z35" s="24">
        <v>2</v>
      </c>
      <c r="AA35" s="33">
        <v>4</v>
      </c>
      <c r="AB35" s="30">
        <v>3</v>
      </c>
      <c r="AC35" s="24">
        <v>1</v>
      </c>
      <c r="AD35" s="24" t="s">
        <v>21</v>
      </c>
      <c r="AE35" s="24">
        <v>1</v>
      </c>
      <c r="AF35" s="24">
        <v>2</v>
      </c>
      <c r="AG35" s="24">
        <v>0</v>
      </c>
      <c r="AH35" s="24">
        <v>2</v>
      </c>
      <c r="AI35" s="30">
        <v>3</v>
      </c>
      <c r="AJ35" s="24" t="s">
        <v>21</v>
      </c>
      <c r="AK35" s="24" t="s">
        <v>21</v>
      </c>
      <c r="AL35" s="24" t="s">
        <v>21</v>
      </c>
      <c r="AM35" s="24" t="s">
        <v>21</v>
      </c>
      <c r="AN35" s="24" t="s">
        <v>21</v>
      </c>
      <c r="AO35" s="24" t="s">
        <v>21</v>
      </c>
      <c r="AP35" s="24">
        <v>1</v>
      </c>
      <c r="AQ35" s="24">
        <v>2</v>
      </c>
      <c r="AR35" s="24">
        <v>1</v>
      </c>
      <c r="AS35" s="24">
        <v>2</v>
      </c>
      <c r="AT35" s="24">
        <v>1</v>
      </c>
      <c r="AU35" s="30">
        <v>3</v>
      </c>
      <c r="AV35" s="30">
        <v>3</v>
      </c>
      <c r="AW35" s="24">
        <v>1</v>
      </c>
      <c r="AX35" s="24">
        <v>1</v>
      </c>
      <c r="AY35" s="24">
        <v>2</v>
      </c>
      <c r="AZ35" s="24">
        <v>2</v>
      </c>
      <c r="BA35" s="33">
        <v>4</v>
      </c>
      <c r="BB35" s="24">
        <v>0</v>
      </c>
      <c r="BC35" s="30">
        <v>3</v>
      </c>
      <c r="BD35" s="24">
        <v>1</v>
      </c>
      <c r="BE35" s="24" t="s">
        <v>21</v>
      </c>
      <c r="BF35" s="24">
        <v>1</v>
      </c>
      <c r="BG35" s="30">
        <v>3</v>
      </c>
      <c r="BH35" s="24">
        <v>1</v>
      </c>
      <c r="BI35" s="24">
        <v>1</v>
      </c>
      <c r="BJ35" s="24">
        <v>2</v>
      </c>
      <c r="BK35" s="30">
        <v>3</v>
      </c>
      <c r="BL35" s="30">
        <v>3</v>
      </c>
      <c r="BM35" s="24">
        <v>1</v>
      </c>
      <c r="BN35" s="24">
        <v>2</v>
      </c>
      <c r="BO35" s="30">
        <v>3</v>
      </c>
      <c r="BP35" s="24">
        <v>1</v>
      </c>
      <c r="BQ35" s="24" t="s">
        <v>21</v>
      </c>
      <c r="BR35" s="24">
        <v>1</v>
      </c>
      <c r="BS35" s="24">
        <v>1</v>
      </c>
      <c r="BT35" s="24">
        <v>0</v>
      </c>
      <c r="BU35" s="24">
        <v>2</v>
      </c>
      <c r="BV35" s="24">
        <v>2</v>
      </c>
      <c r="BW35" s="24">
        <v>2</v>
      </c>
      <c r="BX35" s="26">
        <v>0</v>
      </c>
      <c r="BY35" s="24">
        <v>2</v>
      </c>
      <c r="BZ35" s="24">
        <v>2</v>
      </c>
    </row>
    <row r="36" spans="1:78" ht="16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ht="16.5">
      <c r="A37" s="1"/>
      <c r="B37" s="3" t="s">
        <v>32</v>
      </c>
      <c r="C37" s="70" t="s">
        <v>25</v>
      </c>
      <c r="D37" s="70"/>
      <c r="E37" s="70"/>
      <c r="F37" s="70"/>
      <c r="G37" s="1"/>
      <c r="H37" s="77" t="s">
        <v>20</v>
      </c>
      <c r="I37" s="78"/>
      <c r="J37" s="1"/>
      <c r="K37" s="79" t="s">
        <v>5</v>
      </c>
      <c r="L37" s="78"/>
      <c r="M37" s="1"/>
      <c r="N37" s="80" t="s">
        <v>29</v>
      </c>
      <c r="O37" s="81"/>
      <c r="P37" s="1"/>
      <c r="Q37" s="2"/>
      <c r="R37" s="2"/>
      <c r="S37" s="1"/>
      <c r="T37" s="70" t="s">
        <v>1</v>
      </c>
      <c r="U37" s="70"/>
      <c r="V37" s="70"/>
      <c r="W37" s="70"/>
      <c r="X37" s="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4">
        <v>2012</v>
      </c>
    </row>
    <row r="38" spans="1:78" ht="16.5" customHeight="1">
      <c r="A38" s="1"/>
      <c r="B38" s="31" t="s">
        <v>26</v>
      </c>
      <c r="C38" s="75" t="s">
        <v>7</v>
      </c>
      <c r="D38" s="76"/>
      <c r="E38" s="6" t="s">
        <v>8</v>
      </c>
      <c r="F38" s="7" t="s">
        <v>9</v>
      </c>
      <c r="G38" s="1"/>
      <c r="H38" s="8" t="s">
        <v>10</v>
      </c>
      <c r="I38" s="9" t="s">
        <v>11</v>
      </c>
      <c r="J38" s="1"/>
      <c r="K38" s="10" t="s">
        <v>12</v>
      </c>
      <c r="L38" s="11" t="s">
        <v>11</v>
      </c>
      <c r="M38" s="1"/>
      <c r="N38" s="55" t="s">
        <v>30</v>
      </c>
      <c r="O38" s="56" t="s">
        <v>11</v>
      </c>
      <c r="P38" s="2"/>
      <c r="Q38" s="2"/>
      <c r="R38" s="2"/>
      <c r="S38" s="1"/>
      <c r="T38" s="71" t="s">
        <v>7</v>
      </c>
      <c r="U38" s="71"/>
      <c r="V38" s="7" t="s">
        <v>8</v>
      </c>
      <c r="W38" s="7" t="s">
        <v>13</v>
      </c>
      <c r="X38" s="1"/>
      <c r="Y38" s="12">
        <f>Z38+1</f>
        <v>236</v>
      </c>
      <c r="Z38" s="12">
        <f>AA38+1</f>
        <v>235</v>
      </c>
      <c r="AA38" s="12">
        <f>AB38+1</f>
        <v>234</v>
      </c>
      <c r="AB38" s="12">
        <f>AC38+1</f>
        <v>233</v>
      </c>
      <c r="AC38" s="12">
        <f>AD38+1</f>
        <v>232</v>
      </c>
      <c r="AD38" s="12">
        <f>AE38+1</f>
        <v>231</v>
      </c>
      <c r="AE38" s="12">
        <f aca="true" t="shared" si="16" ref="AE38:BS38">AF38+1</f>
        <v>230</v>
      </c>
      <c r="AF38" s="12">
        <f t="shared" si="16"/>
        <v>229</v>
      </c>
      <c r="AG38" s="12">
        <f t="shared" si="16"/>
        <v>228</v>
      </c>
      <c r="AH38" s="12">
        <f t="shared" si="16"/>
        <v>227</v>
      </c>
      <c r="AI38" s="12">
        <f t="shared" si="16"/>
        <v>226</v>
      </c>
      <c r="AJ38" s="12">
        <f t="shared" si="16"/>
        <v>225</v>
      </c>
      <c r="AK38" s="12">
        <f t="shared" si="16"/>
        <v>224</v>
      </c>
      <c r="AL38" s="12">
        <f t="shared" si="16"/>
        <v>223</v>
      </c>
      <c r="AM38" s="12">
        <f t="shared" si="16"/>
        <v>222</v>
      </c>
      <c r="AN38" s="12">
        <f t="shared" si="16"/>
        <v>221</v>
      </c>
      <c r="AO38" s="12">
        <f t="shared" si="16"/>
        <v>220</v>
      </c>
      <c r="AP38" s="12">
        <f t="shared" si="16"/>
        <v>219</v>
      </c>
      <c r="AQ38" s="12">
        <f t="shared" si="16"/>
        <v>218</v>
      </c>
      <c r="AR38" s="12">
        <f t="shared" si="16"/>
        <v>217</v>
      </c>
      <c r="AS38" s="12">
        <f t="shared" si="16"/>
        <v>216</v>
      </c>
      <c r="AT38" s="12">
        <f t="shared" si="16"/>
        <v>215</v>
      </c>
      <c r="AU38" s="12">
        <f t="shared" si="16"/>
        <v>214</v>
      </c>
      <c r="AV38" s="12">
        <f t="shared" si="16"/>
        <v>213</v>
      </c>
      <c r="AW38" s="12">
        <f t="shared" si="16"/>
        <v>212</v>
      </c>
      <c r="AX38" s="12">
        <f t="shared" si="16"/>
        <v>211</v>
      </c>
      <c r="AY38" s="12">
        <f t="shared" si="16"/>
        <v>210</v>
      </c>
      <c r="AZ38" s="12">
        <f t="shared" si="16"/>
        <v>209</v>
      </c>
      <c r="BA38" s="12">
        <f t="shared" si="16"/>
        <v>208</v>
      </c>
      <c r="BB38" s="12">
        <f t="shared" si="16"/>
        <v>207</v>
      </c>
      <c r="BC38" s="13">
        <f t="shared" si="16"/>
        <v>206</v>
      </c>
      <c r="BD38" s="13">
        <f t="shared" si="16"/>
        <v>205</v>
      </c>
      <c r="BE38" s="12">
        <f t="shared" si="16"/>
        <v>204</v>
      </c>
      <c r="BF38" s="13">
        <f t="shared" si="16"/>
        <v>203</v>
      </c>
      <c r="BG38" s="12">
        <f t="shared" si="16"/>
        <v>202</v>
      </c>
      <c r="BH38" s="13">
        <f t="shared" si="16"/>
        <v>201</v>
      </c>
      <c r="BI38" s="12">
        <f t="shared" si="16"/>
        <v>200</v>
      </c>
      <c r="BJ38" s="12">
        <f t="shared" si="16"/>
        <v>199</v>
      </c>
      <c r="BK38" s="12">
        <f t="shared" si="16"/>
        <v>198</v>
      </c>
      <c r="BL38" s="12">
        <f t="shared" si="16"/>
        <v>197</v>
      </c>
      <c r="BM38" s="12">
        <f t="shared" si="16"/>
        <v>196</v>
      </c>
      <c r="BN38" s="12">
        <f t="shared" si="16"/>
        <v>195</v>
      </c>
      <c r="BO38" s="12">
        <f t="shared" si="16"/>
        <v>194</v>
      </c>
      <c r="BP38" s="12">
        <f t="shared" si="16"/>
        <v>193</v>
      </c>
      <c r="BQ38" s="12">
        <f t="shared" si="16"/>
        <v>192</v>
      </c>
      <c r="BR38" s="12">
        <f t="shared" si="16"/>
        <v>191</v>
      </c>
      <c r="BS38" s="12">
        <f t="shared" si="16"/>
        <v>190</v>
      </c>
      <c r="BT38" s="12">
        <f aca="true" t="shared" si="17" ref="BT38:BY38">BU38+1</f>
        <v>189</v>
      </c>
      <c r="BU38" s="12">
        <f t="shared" si="17"/>
        <v>188</v>
      </c>
      <c r="BV38" s="12">
        <f t="shared" si="17"/>
        <v>187</v>
      </c>
      <c r="BW38" s="12">
        <f t="shared" si="17"/>
        <v>186</v>
      </c>
      <c r="BX38" s="12">
        <f t="shared" si="17"/>
        <v>185</v>
      </c>
      <c r="BY38" s="12">
        <f t="shared" si="17"/>
        <v>184</v>
      </c>
      <c r="BZ38" s="12">
        <v>183</v>
      </c>
    </row>
    <row r="39" spans="1:78" ht="14.25" customHeight="1">
      <c r="A39" s="14"/>
      <c r="B39" s="32" t="s">
        <v>27</v>
      </c>
      <c r="C39" s="16">
        <f>E39*7.8/F39</f>
        <v>1.103030303030303</v>
      </c>
      <c r="D39" s="17" t="s">
        <v>15</v>
      </c>
      <c r="E39" s="18">
        <f>SUM(X39:AP39)</f>
        <v>28</v>
      </c>
      <c r="F39" s="19">
        <f>COUNTIF(X39:AP39,"&gt;=0")*18</f>
        <v>198</v>
      </c>
      <c r="H39" s="20">
        <f>COUNTIF(X39:BZ39,"=2")+COUNTIF(X39:BZ39,"=3")*3+COUNTIF(X39:BZ39,"=4")*6+COUNTIF(X39:BZ39,"=5")*10</f>
        <v>86</v>
      </c>
      <c r="I39" s="21">
        <f>(H39*5300)/(W39*12240)</f>
        <v>0.8275236020334059</v>
      </c>
      <c r="J39" s="2"/>
      <c r="K39" s="20">
        <f>COUNTIF(X39:BZ39,"=3")+COUNTIF(X39:BZ39,"=4")*4+COUNTIF(X39:BZ39,"=5")*10</f>
        <v>32</v>
      </c>
      <c r="L39" s="21">
        <f>(K39*56000)/(W39*57120)</f>
        <v>0.6971677559912854</v>
      </c>
      <c r="M39" s="2"/>
      <c r="N39" s="20">
        <f>COUNTIF(X39:BZ39,"=4")+COUNTIF(X39:BZ39,"=5")*5</f>
        <v>4</v>
      </c>
      <c r="O39" s="21">
        <f>(N39*750000)/(W39*214200)</f>
        <v>0.3112356053532524</v>
      </c>
      <c r="P39" s="2"/>
      <c r="Q39" s="2"/>
      <c r="R39" s="2"/>
      <c r="S39" s="2"/>
      <c r="T39" s="22">
        <f>V39*7.8/(W39*12)</f>
        <v>1.4733333333333334</v>
      </c>
      <c r="U39" s="23" t="s">
        <v>16</v>
      </c>
      <c r="V39" s="18">
        <f>SUM(X39:BZ39)</f>
        <v>102</v>
      </c>
      <c r="W39" s="18">
        <f>COUNTIF(X39:BZ39,"&gt;=0")</f>
        <v>45</v>
      </c>
      <c r="Y39" s="30">
        <v>3</v>
      </c>
      <c r="Z39" s="24">
        <v>2</v>
      </c>
      <c r="AA39" s="33">
        <v>4</v>
      </c>
      <c r="AB39" s="30">
        <v>3</v>
      </c>
      <c r="AC39" s="24">
        <v>2</v>
      </c>
      <c r="AD39" s="24" t="s">
        <v>21</v>
      </c>
      <c r="AE39" s="24">
        <v>2</v>
      </c>
      <c r="AF39" s="33">
        <v>4</v>
      </c>
      <c r="AG39" s="24">
        <v>2</v>
      </c>
      <c r="AH39" s="24">
        <v>2</v>
      </c>
      <c r="AI39" s="30">
        <v>3</v>
      </c>
      <c r="AJ39" s="24" t="s">
        <v>21</v>
      </c>
      <c r="AK39" s="24" t="s">
        <v>21</v>
      </c>
      <c r="AL39" s="24" t="s">
        <v>21</v>
      </c>
      <c r="AM39" s="24" t="s">
        <v>21</v>
      </c>
      <c r="AN39" s="24" t="s">
        <v>21</v>
      </c>
      <c r="AO39" s="24" t="s">
        <v>21</v>
      </c>
      <c r="AP39" s="24">
        <v>1</v>
      </c>
      <c r="AQ39" s="24">
        <v>2</v>
      </c>
      <c r="AR39" s="24">
        <v>1</v>
      </c>
      <c r="AS39" s="24">
        <v>2</v>
      </c>
      <c r="AT39" s="24">
        <v>1</v>
      </c>
      <c r="AU39" s="30">
        <v>3</v>
      </c>
      <c r="AV39" s="30">
        <v>3</v>
      </c>
      <c r="AW39" s="24">
        <v>1</v>
      </c>
      <c r="AX39" s="24">
        <v>1</v>
      </c>
      <c r="AY39" s="24">
        <v>2</v>
      </c>
      <c r="AZ39" s="24">
        <v>2</v>
      </c>
      <c r="BA39" s="33">
        <v>4</v>
      </c>
      <c r="BB39" s="24">
        <v>0</v>
      </c>
      <c r="BC39" s="30">
        <v>3</v>
      </c>
      <c r="BD39" s="24">
        <v>1</v>
      </c>
      <c r="BE39" s="24" t="s">
        <v>21</v>
      </c>
      <c r="BF39" s="24">
        <v>1</v>
      </c>
      <c r="BG39" s="30">
        <v>3</v>
      </c>
      <c r="BH39" s="24">
        <v>1</v>
      </c>
      <c r="BI39" s="24">
        <v>2</v>
      </c>
      <c r="BJ39" s="30">
        <v>3</v>
      </c>
      <c r="BK39" s="30">
        <v>3</v>
      </c>
      <c r="BL39" s="30">
        <v>3</v>
      </c>
      <c r="BM39" s="24">
        <v>2</v>
      </c>
      <c r="BN39" s="24">
        <v>2</v>
      </c>
      <c r="BO39" s="33">
        <v>4</v>
      </c>
      <c r="BP39" s="24">
        <v>2</v>
      </c>
      <c r="BQ39" s="24" t="s">
        <v>21</v>
      </c>
      <c r="BR39" s="24">
        <v>2</v>
      </c>
      <c r="BS39" s="24">
        <v>1</v>
      </c>
      <c r="BT39" s="24">
        <v>1</v>
      </c>
      <c r="BU39" s="30">
        <v>3</v>
      </c>
      <c r="BV39" s="30">
        <v>3</v>
      </c>
      <c r="BW39" s="30">
        <v>3</v>
      </c>
      <c r="BX39" s="30">
        <v>3</v>
      </c>
      <c r="BY39" s="30">
        <v>3</v>
      </c>
      <c r="BZ39" s="30">
        <v>3</v>
      </c>
    </row>
    <row r="40" spans="1:78" ht="16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ht="8.2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</row>
    <row r="42" spans="1:78" ht="16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ht="16.5">
      <c r="A43" s="65"/>
      <c r="B43" s="98" t="s">
        <v>59</v>
      </c>
      <c r="C43" s="99"/>
      <c r="D43" s="99"/>
      <c r="E43" s="99"/>
      <c r="F43" s="100"/>
      <c r="G43" s="1"/>
      <c r="H43" s="9" t="s">
        <v>53</v>
      </c>
      <c r="I43" s="59">
        <v>4960</v>
      </c>
      <c r="J43" s="1"/>
      <c r="K43" s="2"/>
      <c r="L43" s="2"/>
      <c r="M43" s="1"/>
      <c r="N43" s="2"/>
      <c r="O43" s="2"/>
      <c r="P43" s="2"/>
      <c r="Q43" s="2"/>
      <c r="R43" s="2"/>
      <c r="S43" s="2"/>
      <c r="T43" s="70" t="s">
        <v>1</v>
      </c>
      <c r="U43" s="70"/>
      <c r="V43" s="70"/>
      <c r="W43" s="70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ht="16.5" customHeight="1">
      <c r="A44" s="1"/>
      <c r="B44" s="2"/>
      <c r="C44" s="2"/>
      <c r="D44" s="2"/>
      <c r="E44" s="2"/>
      <c r="F44" s="2"/>
      <c r="G44" s="1"/>
      <c r="H44" s="8" t="s">
        <v>10</v>
      </c>
      <c r="I44" s="9" t="s">
        <v>11</v>
      </c>
      <c r="J44" s="1"/>
      <c r="K44" s="2"/>
      <c r="L44" s="2"/>
      <c r="M44" s="1"/>
      <c r="N44" s="2"/>
      <c r="O44" s="2"/>
      <c r="P44" s="2"/>
      <c r="Q44" s="2"/>
      <c r="R44" s="2"/>
      <c r="S44" s="1"/>
      <c r="T44" s="71" t="s">
        <v>7</v>
      </c>
      <c r="U44" s="71"/>
      <c r="V44" s="7" t="s">
        <v>8</v>
      </c>
      <c r="W44" s="7" t="s">
        <v>13</v>
      </c>
      <c r="X44" s="1"/>
      <c r="Y44" s="12">
        <f>Z44+1</f>
        <v>236</v>
      </c>
      <c r="Z44" s="12">
        <f aca="true" t="shared" si="18" ref="Z44:AF44">AA44+1</f>
        <v>235</v>
      </c>
      <c r="AA44" s="12">
        <f t="shared" si="18"/>
        <v>234</v>
      </c>
      <c r="AB44" s="12">
        <f t="shared" si="18"/>
        <v>233</v>
      </c>
      <c r="AC44" s="12">
        <f t="shared" si="18"/>
        <v>232</v>
      </c>
      <c r="AD44" s="12">
        <f t="shared" si="18"/>
        <v>231</v>
      </c>
      <c r="AE44" s="12">
        <f t="shared" si="18"/>
        <v>230</v>
      </c>
      <c r="AF44" s="12">
        <f t="shared" si="18"/>
        <v>229</v>
      </c>
      <c r="AG44" s="12">
        <f aca="true" t="shared" si="19" ref="AG44:BQ44">AH44+1</f>
        <v>228</v>
      </c>
      <c r="AH44" s="12">
        <f t="shared" si="19"/>
        <v>227</v>
      </c>
      <c r="AI44" s="12">
        <f t="shared" si="19"/>
        <v>226</v>
      </c>
      <c r="AJ44" s="12">
        <f t="shared" si="19"/>
        <v>225</v>
      </c>
      <c r="AK44" s="12">
        <f t="shared" si="19"/>
        <v>224</v>
      </c>
      <c r="AL44" s="12">
        <f t="shared" si="19"/>
        <v>223</v>
      </c>
      <c r="AM44" s="12">
        <f t="shared" si="19"/>
        <v>222</v>
      </c>
      <c r="AN44" s="12">
        <f t="shared" si="19"/>
        <v>221</v>
      </c>
      <c r="AO44" s="12">
        <f t="shared" si="19"/>
        <v>220</v>
      </c>
      <c r="AP44" s="12">
        <f t="shared" si="19"/>
        <v>219</v>
      </c>
      <c r="AQ44" s="12">
        <f t="shared" si="19"/>
        <v>218</v>
      </c>
      <c r="AR44" s="12">
        <f t="shared" si="19"/>
        <v>217</v>
      </c>
      <c r="AS44" s="12">
        <f t="shared" si="19"/>
        <v>216</v>
      </c>
      <c r="AT44" s="12">
        <f t="shared" si="19"/>
        <v>215</v>
      </c>
      <c r="AU44" s="12">
        <f t="shared" si="19"/>
        <v>214</v>
      </c>
      <c r="AV44" s="12">
        <f t="shared" si="19"/>
        <v>213</v>
      </c>
      <c r="AW44" s="12">
        <f t="shared" si="19"/>
        <v>212</v>
      </c>
      <c r="AX44" s="12">
        <f t="shared" si="19"/>
        <v>211</v>
      </c>
      <c r="AY44" s="12">
        <f t="shared" si="19"/>
        <v>210</v>
      </c>
      <c r="AZ44" s="12">
        <f t="shared" si="19"/>
        <v>209</v>
      </c>
      <c r="BA44" s="12">
        <f t="shared" si="19"/>
        <v>208</v>
      </c>
      <c r="BB44" s="12">
        <f t="shared" si="19"/>
        <v>207</v>
      </c>
      <c r="BC44" s="13">
        <f t="shared" si="19"/>
        <v>206</v>
      </c>
      <c r="BD44" s="13">
        <f t="shared" si="19"/>
        <v>205</v>
      </c>
      <c r="BE44" s="12">
        <f t="shared" si="19"/>
        <v>204</v>
      </c>
      <c r="BF44" s="13">
        <f t="shared" si="19"/>
        <v>203</v>
      </c>
      <c r="BG44" s="12">
        <f t="shared" si="19"/>
        <v>202</v>
      </c>
      <c r="BH44" s="13">
        <f t="shared" si="19"/>
        <v>201</v>
      </c>
      <c r="BI44" s="12">
        <f t="shared" si="19"/>
        <v>200</v>
      </c>
      <c r="BJ44" s="12">
        <f t="shared" si="19"/>
        <v>199</v>
      </c>
      <c r="BK44" s="12">
        <f t="shared" si="19"/>
        <v>198</v>
      </c>
      <c r="BL44" s="12">
        <f t="shared" si="19"/>
        <v>197</v>
      </c>
      <c r="BM44" s="12">
        <f t="shared" si="19"/>
        <v>196</v>
      </c>
      <c r="BN44" s="12">
        <f t="shared" si="19"/>
        <v>195</v>
      </c>
      <c r="BO44" s="12">
        <f t="shared" si="19"/>
        <v>194</v>
      </c>
      <c r="BP44" s="12">
        <f t="shared" si="19"/>
        <v>193</v>
      </c>
      <c r="BQ44" s="12">
        <f t="shared" si="19"/>
        <v>192</v>
      </c>
      <c r="BR44" s="12">
        <f aca="true" t="shared" si="20" ref="BR44:BY44">BS44+1</f>
        <v>191</v>
      </c>
      <c r="BS44" s="12">
        <f t="shared" si="20"/>
        <v>190</v>
      </c>
      <c r="BT44" s="12">
        <f t="shared" si="20"/>
        <v>189</v>
      </c>
      <c r="BU44" s="12">
        <f t="shared" si="20"/>
        <v>188</v>
      </c>
      <c r="BV44" s="12">
        <f t="shared" si="20"/>
        <v>187</v>
      </c>
      <c r="BW44" s="12">
        <f t="shared" si="20"/>
        <v>186</v>
      </c>
      <c r="BX44" s="12">
        <f t="shared" si="20"/>
        <v>185</v>
      </c>
      <c r="BY44" s="12">
        <f t="shared" si="20"/>
        <v>184</v>
      </c>
      <c r="BZ44" s="12">
        <v>183</v>
      </c>
    </row>
    <row r="45" spans="1:78" ht="14.25" customHeight="1">
      <c r="A45" s="14"/>
      <c r="B45" s="2"/>
      <c r="C45" s="2"/>
      <c r="D45" s="2"/>
      <c r="E45" s="2"/>
      <c r="F45" s="2"/>
      <c r="G45" s="2"/>
      <c r="H45" s="20">
        <f>COUNTIF(X45:BZ45,"=1")*1*4+COUNTIF(X45:BZ45,"=2")*2*3</f>
        <v>76</v>
      </c>
      <c r="I45" s="21">
        <f>(H45*5300)/(W45*I43)</f>
        <v>1.7654277699859748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2">
        <f>V45*7.8/(W45*6)</f>
        <v>0.5652173913043478</v>
      </c>
      <c r="U45" s="23" t="s">
        <v>16</v>
      </c>
      <c r="V45" s="18">
        <f>SUM(X45:BZ45)</f>
        <v>20</v>
      </c>
      <c r="W45" s="18">
        <f>COUNTIF(X45:BZ45,"&gt;=0")</f>
        <v>46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7">
        <v>1</v>
      </c>
      <c r="AE45" s="24">
        <v>0</v>
      </c>
      <c r="AF45" s="24">
        <v>0</v>
      </c>
      <c r="AG45" s="24">
        <v>0</v>
      </c>
      <c r="AH45" s="24">
        <v>0</v>
      </c>
      <c r="AI45" s="27">
        <v>1</v>
      </c>
      <c r="AJ45" s="27" t="s">
        <v>21</v>
      </c>
      <c r="AK45" s="27" t="s">
        <v>21</v>
      </c>
      <c r="AL45" s="27" t="s">
        <v>21</v>
      </c>
      <c r="AM45" s="27" t="s">
        <v>21</v>
      </c>
      <c r="AN45" s="27" t="s">
        <v>21</v>
      </c>
      <c r="AO45" s="27" t="s">
        <v>21</v>
      </c>
      <c r="AP45" s="27">
        <v>0</v>
      </c>
      <c r="AQ45" s="27">
        <v>1</v>
      </c>
      <c r="AR45" s="27">
        <v>1</v>
      </c>
      <c r="AS45" s="27">
        <v>1</v>
      </c>
      <c r="AT45" s="27">
        <v>0</v>
      </c>
      <c r="AU45" s="27">
        <v>0</v>
      </c>
      <c r="AV45" s="27">
        <v>1</v>
      </c>
      <c r="AW45" s="27">
        <v>1</v>
      </c>
      <c r="AX45" s="27">
        <v>0</v>
      </c>
      <c r="AY45" s="27">
        <v>1</v>
      </c>
      <c r="AZ45" s="27">
        <v>0</v>
      </c>
      <c r="BA45" s="27">
        <v>1</v>
      </c>
      <c r="BB45" s="27">
        <v>0</v>
      </c>
      <c r="BC45" s="27">
        <v>1</v>
      </c>
      <c r="BD45" s="27">
        <v>0</v>
      </c>
      <c r="BE45" s="27" t="s">
        <v>21</v>
      </c>
      <c r="BF45" s="27">
        <v>1</v>
      </c>
      <c r="BG45" s="27">
        <v>1</v>
      </c>
      <c r="BH45" s="27">
        <v>0</v>
      </c>
      <c r="BI45" s="27">
        <v>0</v>
      </c>
      <c r="BJ45" s="27">
        <v>0</v>
      </c>
      <c r="BK45" s="27">
        <v>0</v>
      </c>
      <c r="BL45" s="28">
        <v>2</v>
      </c>
      <c r="BM45" s="27">
        <v>0</v>
      </c>
      <c r="BN45" s="27">
        <v>0</v>
      </c>
      <c r="BO45" s="28">
        <v>2</v>
      </c>
      <c r="BP45" s="26">
        <v>0</v>
      </c>
      <c r="BQ45" s="27" t="s">
        <v>21</v>
      </c>
      <c r="BR45" s="26">
        <v>0</v>
      </c>
      <c r="BS45" s="29">
        <v>1</v>
      </c>
      <c r="BT45" s="26">
        <v>0</v>
      </c>
      <c r="BU45" s="29">
        <v>1</v>
      </c>
      <c r="BV45" s="26">
        <v>0</v>
      </c>
      <c r="BW45" s="29">
        <v>1</v>
      </c>
      <c r="BX45" s="26">
        <v>0</v>
      </c>
      <c r="BY45" s="29">
        <v>1</v>
      </c>
      <c r="BZ45" s="26">
        <v>0</v>
      </c>
    </row>
    <row r="46" spans="1:78" ht="16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ht="16.5">
      <c r="A47" s="2"/>
      <c r="B47" s="98" t="s">
        <v>56</v>
      </c>
      <c r="C47" s="99"/>
      <c r="D47" s="99"/>
      <c r="E47" s="99"/>
      <c r="F47" s="100"/>
      <c r="G47" s="1"/>
      <c r="H47" s="9" t="s">
        <v>53</v>
      </c>
      <c r="I47" s="59">
        <v>8640</v>
      </c>
      <c r="J47" s="1"/>
      <c r="K47" s="2"/>
      <c r="L47" s="2"/>
      <c r="M47" s="1"/>
      <c r="N47" s="2"/>
      <c r="O47" s="2"/>
      <c r="P47" s="2"/>
      <c r="Q47" s="2"/>
      <c r="R47" s="2"/>
      <c r="S47" s="2"/>
      <c r="T47" s="70" t="s">
        <v>1</v>
      </c>
      <c r="U47" s="70"/>
      <c r="V47" s="70"/>
      <c r="W47" s="70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ht="16.5" customHeight="1">
      <c r="A48" s="1"/>
      <c r="B48" s="2"/>
      <c r="C48" s="2"/>
      <c r="D48" s="2"/>
      <c r="E48" s="2"/>
      <c r="F48" s="2"/>
      <c r="G48" s="1"/>
      <c r="H48" s="8" t="s">
        <v>10</v>
      </c>
      <c r="I48" s="9" t="s">
        <v>11</v>
      </c>
      <c r="J48" s="1"/>
      <c r="K48" s="2"/>
      <c r="L48" s="2"/>
      <c r="M48" s="1"/>
      <c r="N48" s="2"/>
      <c r="O48" s="2"/>
      <c r="P48" s="2"/>
      <c r="Q48" s="2"/>
      <c r="R48" s="2"/>
      <c r="S48" s="1"/>
      <c r="T48" s="71" t="s">
        <v>7</v>
      </c>
      <c r="U48" s="71"/>
      <c r="V48" s="7" t="s">
        <v>8</v>
      </c>
      <c r="W48" s="7" t="s">
        <v>13</v>
      </c>
      <c r="X48" s="1"/>
      <c r="Y48" s="12">
        <f>Z48+1</f>
        <v>236</v>
      </c>
      <c r="Z48" s="12">
        <f>AA48+1</f>
        <v>235</v>
      </c>
      <c r="AA48" s="12">
        <f>AB48+1</f>
        <v>234</v>
      </c>
      <c r="AB48" s="12">
        <f>AC48+1</f>
        <v>233</v>
      </c>
      <c r="AC48" s="12">
        <f>AD48+1</f>
        <v>232</v>
      </c>
      <c r="AD48" s="12">
        <f>AE48+1</f>
        <v>231</v>
      </c>
      <c r="AE48" s="12">
        <f aca="true" t="shared" si="21" ref="AE48:BR48">AF48+1</f>
        <v>230</v>
      </c>
      <c r="AF48" s="12">
        <f t="shared" si="21"/>
        <v>229</v>
      </c>
      <c r="AG48" s="12">
        <f t="shared" si="21"/>
        <v>228</v>
      </c>
      <c r="AH48" s="12">
        <f t="shared" si="21"/>
        <v>227</v>
      </c>
      <c r="AI48" s="12">
        <f t="shared" si="21"/>
        <v>226</v>
      </c>
      <c r="AJ48" s="12">
        <f t="shared" si="21"/>
        <v>225</v>
      </c>
      <c r="AK48" s="12">
        <f t="shared" si="21"/>
        <v>224</v>
      </c>
      <c r="AL48" s="12">
        <f t="shared" si="21"/>
        <v>223</v>
      </c>
      <c r="AM48" s="12">
        <f t="shared" si="21"/>
        <v>222</v>
      </c>
      <c r="AN48" s="12">
        <f t="shared" si="21"/>
        <v>221</v>
      </c>
      <c r="AO48" s="12">
        <f t="shared" si="21"/>
        <v>220</v>
      </c>
      <c r="AP48" s="12">
        <f t="shared" si="21"/>
        <v>219</v>
      </c>
      <c r="AQ48" s="12">
        <f t="shared" si="21"/>
        <v>218</v>
      </c>
      <c r="AR48" s="12">
        <f t="shared" si="21"/>
        <v>217</v>
      </c>
      <c r="AS48" s="12">
        <f t="shared" si="21"/>
        <v>216</v>
      </c>
      <c r="AT48" s="12">
        <f t="shared" si="21"/>
        <v>215</v>
      </c>
      <c r="AU48" s="12">
        <f t="shared" si="21"/>
        <v>214</v>
      </c>
      <c r="AV48" s="12">
        <f t="shared" si="21"/>
        <v>213</v>
      </c>
      <c r="AW48" s="12">
        <f t="shared" si="21"/>
        <v>212</v>
      </c>
      <c r="AX48" s="12">
        <f t="shared" si="21"/>
        <v>211</v>
      </c>
      <c r="AY48" s="12">
        <f t="shared" si="21"/>
        <v>210</v>
      </c>
      <c r="AZ48" s="12">
        <f t="shared" si="21"/>
        <v>209</v>
      </c>
      <c r="BA48" s="12">
        <f t="shared" si="21"/>
        <v>208</v>
      </c>
      <c r="BB48" s="12">
        <f t="shared" si="21"/>
        <v>207</v>
      </c>
      <c r="BC48" s="13">
        <f t="shared" si="21"/>
        <v>206</v>
      </c>
      <c r="BD48" s="13">
        <f t="shared" si="21"/>
        <v>205</v>
      </c>
      <c r="BE48" s="12">
        <f t="shared" si="21"/>
        <v>204</v>
      </c>
      <c r="BF48" s="13">
        <f t="shared" si="21"/>
        <v>203</v>
      </c>
      <c r="BG48" s="12">
        <f t="shared" si="21"/>
        <v>202</v>
      </c>
      <c r="BH48" s="13">
        <f t="shared" si="21"/>
        <v>201</v>
      </c>
      <c r="BI48" s="12">
        <f t="shared" si="21"/>
        <v>200</v>
      </c>
      <c r="BJ48" s="12">
        <f t="shared" si="21"/>
        <v>199</v>
      </c>
      <c r="BK48" s="12">
        <f t="shared" si="21"/>
        <v>198</v>
      </c>
      <c r="BL48" s="12">
        <f t="shared" si="21"/>
        <v>197</v>
      </c>
      <c r="BM48" s="12">
        <f t="shared" si="21"/>
        <v>196</v>
      </c>
      <c r="BN48" s="12">
        <f t="shared" si="21"/>
        <v>195</v>
      </c>
      <c r="BO48" s="12">
        <f t="shared" si="21"/>
        <v>194</v>
      </c>
      <c r="BP48" s="12">
        <f t="shared" si="21"/>
        <v>193</v>
      </c>
      <c r="BQ48" s="12">
        <f t="shared" si="21"/>
        <v>192</v>
      </c>
      <c r="BR48" s="12">
        <f t="shared" si="21"/>
        <v>191</v>
      </c>
      <c r="BS48" s="12">
        <f aca="true" t="shared" si="22" ref="BS48:BY48">BT48+1</f>
        <v>190</v>
      </c>
      <c r="BT48" s="12">
        <f t="shared" si="22"/>
        <v>189</v>
      </c>
      <c r="BU48" s="12">
        <f t="shared" si="22"/>
        <v>188</v>
      </c>
      <c r="BV48" s="12">
        <f t="shared" si="22"/>
        <v>187</v>
      </c>
      <c r="BW48" s="12">
        <f t="shared" si="22"/>
        <v>186</v>
      </c>
      <c r="BX48" s="12">
        <f t="shared" si="22"/>
        <v>185</v>
      </c>
      <c r="BY48" s="12">
        <f t="shared" si="22"/>
        <v>184</v>
      </c>
      <c r="BZ48" s="12">
        <v>183</v>
      </c>
    </row>
    <row r="49" spans="1:78" ht="14.25" customHeight="1">
      <c r="A49" s="14"/>
      <c r="B49" s="2"/>
      <c r="C49" s="2"/>
      <c r="D49" s="2"/>
      <c r="E49" s="2"/>
      <c r="F49" s="2"/>
      <c r="G49" s="2"/>
      <c r="H49" s="20">
        <f>COUNTIF(X49:BZ49,"=1")*1*4+COUNTIF(X49:BZ49,"=2")*2*3+COUNTIF(X49:BZ49,"=3")*3*2</f>
        <v>98</v>
      </c>
      <c r="I49" s="21">
        <f>(H49*5300)/(W49*I47)</f>
        <v>1.3068639291465378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2">
        <f>V49*7.8/(W49*6)</f>
        <v>0.8195652173913043</v>
      </c>
      <c r="U49" s="23" t="s">
        <v>16</v>
      </c>
      <c r="V49" s="18">
        <f>SUM(X49:BZ49)</f>
        <v>29</v>
      </c>
      <c r="W49" s="18">
        <f>COUNTIF(X49:BZ49,"&gt;=0")</f>
        <v>46</v>
      </c>
      <c r="Y49" s="24">
        <v>0</v>
      </c>
      <c r="Z49" s="24">
        <v>0</v>
      </c>
      <c r="AA49" s="24">
        <v>0</v>
      </c>
      <c r="AB49" s="24">
        <v>0</v>
      </c>
      <c r="AC49" s="27">
        <v>1</v>
      </c>
      <c r="AD49" s="27">
        <v>2</v>
      </c>
      <c r="AE49" s="24">
        <v>0</v>
      </c>
      <c r="AF49" s="24">
        <v>0</v>
      </c>
      <c r="AG49" s="24">
        <v>0</v>
      </c>
      <c r="AH49" s="27">
        <v>1</v>
      </c>
      <c r="AI49" s="27">
        <v>2</v>
      </c>
      <c r="AJ49" s="27" t="s">
        <v>21</v>
      </c>
      <c r="AK49" s="27" t="s">
        <v>21</v>
      </c>
      <c r="AL49" s="27" t="s">
        <v>21</v>
      </c>
      <c r="AM49" s="27" t="s">
        <v>21</v>
      </c>
      <c r="AN49" s="27" t="s">
        <v>21</v>
      </c>
      <c r="AO49" s="27" t="s">
        <v>21</v>
      </c>
      <c r="AP49" s="27">
        <v>0</v>
      </c>
      <c r="AQ49" s="27">
        <v>1</v>
      </c>
      <c r="AR49" s="27">
        <v>1</v>
      </c>
      <c r="AS49" s="27">
        <v>1</v>
      </c>
      <c r="AT49" s="27">
        <v>0</v>
      </c>
      <c r="AU49" s="27">
        <v>0</v>
      </c>
      <c r="AV49" s="27">
        <v>1</v>
      </c>
      <c r="AW49" s="27">
        <v>1</v>
      </c>
      <c r="AX49" s="27">
        <v>0</v>
      </c>
      <c r="AY49" s="27">
        <v>1</v>
      </c>
      <c r="AZ49" s="27">
        <v>0</v>
      </c>
      <c r="BA49" s="27">
        <v>2</v>
      </c>
      <c r="BB49" s="27">
        <v>0</v>
      </c>
      <c r="BC49" s="27">
        <v>1</v>
      </c>
      <c r="BD49" s="27">
        <v>0</v>
      </c>
      <c r="BE49" s="27" t="s">
        <v>21</v>
      </c>
      <c r="BF49" s="27">
        <v>1</v>
      </c>
      <c r="BG49" s="27">
        <v>1</v>
      </c>
      <c r="BH49" s="27">
        <v>0</v>
      </c>
      <c r="BI49" s="27">
        <v>1</v>
      </c>
      <c r="BJ49" s="27">
        <v>0</v>
      </c>
      <c r="BK49" s="27">
        <v>0</v>
      </c>
      <c r="BL49" s="30">
        <v>3</v>
      </c>
      <c r="BM49" s="27">
        <v>0</v>
      </c>
      <c r="BN49" s="27">
        <v>0</v>
      </c>
      <c r="BO49" s="30">
        <v>3</v>
      </c>
      <c r="BP49" s="26">
        <v>0</v>
      </c>
      <c r="BQ49" s="27" t="s">
        <v>21</v>
      </c>
      <c r="BR49" s="26">
        <v>0</v>
      </c>
      <c r="BS49" s="29">
        <v>1</v>
      </c>
      <c r="BT49" s="26">
        <v>0</v>
      </c>
      <c r="BU49" s="29">
        <v>1</v>
      </c>
      <c r="BV49" s="26">
        <v>0</v>
      </c>
      <c r="BW49" s="29">
        <v>1</v>
      </c>
      <c r="BX49" s="26">
        <v>0</v>
      </c>
      <c r="BY49" s="29">
        <v>1</v>
      </c>
      <c r="BZ49" s="26">
        <v>1</v>
      </c>
    </row>
    <row r="50" spans="1:78" ht="16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ht="16.5">
      <c r="A51" s="65"/>
      <c r="B51" s="104" t="s">
        <v>58</v>
      </c>
      <c r="C51" s="105"/>
      <c r="D51" s="105"/>
      <c r="E51" s="105"/>
      <c r="F51" s="106"/>
      <c r="G51" s="1"/>
      <c r="H51" s="11" t="s">
        <v>53</v>
      </c>
      <c r="I51" s="60">
        <v>6300</v>
      </c>
      <c r="J51" s="1"/>
      <c r="K51" s="2"/>
      <c r="L51" s="2"/>
      <c r="M51" s="1"/>
      <c r="N51" s="2"/>
      <c r="O51" s="2"/>
      <c r="P51" s="2"/>
      <c r="Q51" s="2"/>
      <c r="R51" s="2"/>
      <c r="S51" s="2"/>
      <c r="T51" s="70" t="s">
        <v>1</v>
      </c>
      <c r="U51" s="70"/>
      <c r="V51" s="70"/>
      <c r="W51" s="70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ht="16.5" customHeight="1">
      <c r="A52" s="1"/>
      <c r="B52" s="2"/>
      <c r="C52" s="2"/>
      <c r="D52" s="2"/>
      <c r="E52" s="2"/>
      <c r="F52" s="2"/>
      <c r="G52" s="1"/>
      <c r="H52" s="10" t="s">
        <v>12</v>
      </c>
      <c r="I52" s="11" t="s">
        <v>11</v>
      </c>
      <c r="J52" s="1"/>
      <c r="K52" s="2"/>
      <c r="L52" s="2"/>
      <c r="M52" s="1"/>
      <c r="N52" s="2"/>
      <c r="O52" s="2"/>
      <c r="P52" s="2"/>
      <c r="Q52" s="2"/>
      <c r="R52" s="2"/>
      <c r="S52" s="1"/>
      <c r="T52" s="71" t="s">
        <v>7</v>
      </c>
      <c r="U52" s="71"/>
      <c r="V52" s="7" t="s">
        <v>8</v>
      </c>
      <c r="W52" s="7" t="s">
        <v>13</v>
      </c>
      <c r="X52" s="1"/>
      <c r="Y52" s="12">
        <f>Z52+1</f>
        <v>236</v>
      </c>
      <c r="Z52" s="12">
        <f>AA52+1</f>
        <v>235</v>
      </c>
      <c r="AA52" s="12">
        <f>AB52+1</f>
        <v>234</v>
      </c>
      <c r="AB52" s="12">
        <f>AC52+1</f>
        <v>233</v>
      </c>
      <c r="AC52" s="12">
        <f>AD52+1</f>
        <v>232</v>
      </c>
      <c r="AD52" s="12">
        <f>AE52+1</f>
        <v>231</v>
      </c>
      <c r="AE52" s="12">
        <f aca="true" t="shared" si="23" ref="AE52:BY52">AF52+1</f>
        <v>230</v>
      </c>
      <c r="AF52" s="12">
        <f t="shared" si="23"/>
        <v>229</v>
      </c>
      <c r="AG52" s="12">
        <f t="shared" si="23"/>
        <v>228</v>
      </c>
      <c r="AH52" s="12">
        <f t="shared" si="23"/>
        <v>227</v>
      </c>
      <c r="AI52" s="12">
        <f t="shared" si="23"/>
        <v>226</v>
      </c>
      <c r="AJ52" s="12">
        <f t="shared" si="23"/>
        <v>225</v>
      </c>
      <c r="AK52" s="12">
        <f t="shared" si="23"/>
        <v>224</v>
      </c>
      <c r="AL52" s="12">
        <f t="shared" si="23"/>
        <v>223</v>
      </c>
      <c r="AM52" s="12">
        <f t="shared" si="23"/>
        <v>222</v>
      </c>
      <c r="AN52" s="12">
        <f t="shared" si="23"/>
        <v>221</v>
      </c>
      <c r="AO52" s="12">
        <f t="shared" si="23"/>
        <v>220</v>
      </c>
      <c r="AP52" s="12">
        <f t="shared" si="23"/>
        <v>219</v>
      </c>
      <c r="AQ52" s="12">
        <f t="shared" si="23"/>
        <v>218</v>
      </c>
      <c r="AR52" s="12">
        <f t="shared" si="23"/>
        <v>217</v>
      </c>
      <c r="AS52" s="12">
        <f t="shared" si="23"/>
        <v>216</v>
      </c>
      <c r="AT52" s="12">
        <f t="shared" si="23"/>
        <v>215</v>
      </c>
      <c r="AU52" s="12">
        <f t="shared" si="23"/>
        <v>214</v>
      </c>
      <c r="AV52" s="12">
        <f t="shared" si="23"/>
        <v>213</v>
      </c>
      <c r="AW52" s="12">
        <f t="shared" si="23"/>
        <v>212</v>
      </c>
      <c r="AX52" s="12">
        <f t="shared" si="23"/>
        <v>211</v>
      </c>
      <c r="AY52" s="12">
        <f t="shared" si="23"/>
        <v>210</v>
      </c>
      <c r="AZ52" s="12">
        <f t="shared" si="23"/>
        <v>209</v>
      </c>
      <c r="BA52" s="12">
        <f t="shared" si="23"/>
        <v>208</v>
      </c>
      <c r="BB52" s="12">
        <f t="shared" si="23"/>
        <v>207</v>
      </c>
      <c r="BC52" s="13">
        <f t="shared" si="23"/>
        <v>206</v>
      </c>
      <c r="BD52" s="13">
        <f t="shared" si="23"/>
        <v>205</v>
      </c>
      <c r="BE52" s="12">
        <f t="shared" si="23"/>
        <v>204</v>
      </c>
      <c r="BF52" s="13">
        <f t="shared" si="23"/>
        <v>203</v>
      </c>
      <c r="BG52" s="12">
        <f t="shared" si="23"/>
        <v>202</v>
      </c>
      <c r="BH52" s="13">
        <f t="shared" si="23"/>
        <v>201</v>
      </c>
      <c r="BI52" s="12">
        <f t="shared" si="23"/>
        <v>200</v>
      </c>
      <c r="BJ52" s="12">
        <f t="shared" si="23"/>
        <v>199</v>
      </c>
      <c r="BK52" s="12">
        <f t="shared" si="23"/>
        <v>198</v>
      </c>
      <c r="BL52" s="12">
        <f t="shared" si="23"/>
        <v>197</v>
      </c>
      <c r="BM52" s="12">
        <f t="shared" si="23"/>
        <v>196</v>
      </c>
      <c r="BN52" s="12">
        <f t="shared" si="23"/>
        <v>195</v>
      </c>
      <c r="BO52" s="12">
        <f t="shared" si="23"/>
        <v>194</v>
      </c>
      <c r="BP52" s="12">
        <f t="shared" si="23"/>
        <v>193</v>
      </c>
      <c r="BQ52" s="12">
        <f t="shared" si="23"/>
        <v>192</v>
      </c>
      <c r="BR52" s="12">
        <f t="shared" si="23"/>
        <v>191</v>
      </c>
      <c r="BS52" s="12">
        <f t="shared" si="23"/>
        <v>190</v>
      </c>
      <c r="BT52" s="12">
        <f t="shared" si="23"/>
        <v>189</v>
      </c>
      <c r="BU52" s="12">
        <f t="shared" si="23"/>
        <v>188</v>
      </c>
      <c r="BV52" s="12">
        <f t="shared" si="23"/>
        <v>187</v>
      </c>
      <c r="BW52" s="12">
        <f t="shared" si="23"/>
        <v>186</v>
      </c>
      <c r="BX52" s="12">
        <f t="shared" si="23"/>
        <v>185</v>
      </c>
      <c r="BY52" s="12">
        <f t="shared" si="23"/>
        <v>184</v>
      </c>
      <c r="BZ52" s="12">
        <v>183</v>
      </c>
    </row>
    <row r="53" spans="1:78" ht="14.25" customHeight="1">
      <c r="A53" s="14"/>
      <c r="B53" s="2"/>
      <c r="C53" s="2"/>
      <c r="D53" s="2"/>
      <c r="E53" s="2"/>
      <c r="F53" s="2"/>
      <c r="G53" s="2"/>
      <c r="H53" s="20">
        <f>COUNTIF(X53:BZ53,"=2")*1*3+COUNTIF(X53:BZ53,"=3")*3*2</f>
        <v>21</v>
      </c>
      <c r="I53" s="21">
        <f>(H53*56000)/(W53*I51)</f>
        <v>4.057971014492754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2">
        <f>V53*7.8/(W53*6)</f>
        <v>0.8195652173913043</v>
      </c>
      <c r="U53" s="23" t="s">
        <v>16</v>
      </c>
      <c r="V53" s="18">
        <f>SUM(X53:BZ53)</f>
        <v>29</v>
      </c>
      <c r="W53" s="18">
        <f>COUNTIF(X53:BZ53,"&gt;=0")</f>
        <v>46</v>
      </c>
      <c r="Y53" s="24">
        <v>0</v>
      </c>
      <c r="Z53" s="24">
        <v>0</v>
      </c>
      <c r="AA53" s="24">
        <v>0</v>
      </c>
      <c r="AB53" s="24">
        <v>0</v>
      </c>
      <c r="AC53" s="27">
        <v>1</v>
      </c>
      <c r="AD53" s="27">
        <v>2</v>
      </c>
      <c r="AE53" s="24">
        <v>0</v>
      </c>
      <c r="AF53" s="24">
        <v>0</v>
      </c>
      <c r="AG53" s="24">
        <v>0</v>
      </c>
      <c r="AH53" s="27">
        <v>1</v>
      </c>
      <c r="AI53" s="27">
        <v>2</v>
      </c>
      <c r="AJ53" s="27" t="s">
        <v>21</v>
      </c>
      <c r="AK53" s="27" t="s">
        <v>21</v>
      </c>
      <c r="AL53" s="27" t="s">
        <v>21</v>
      </c>
      <c r="AM53" s="27" t="s">
        <v>21</v>
      </c>
      <c r="AN53" s="27" t="s">
        <v>21</v>
      </c>
      <c r="AO53" s="27" t="s">
        <v>21</v>
      </c>
      <c r="AP53" s="27">
        <v>0</v>
      </c>
      <c r="AQ53" s="27">
        <v>1</v>
      </c>
      <c r="AR53" s="27">
        <v>1</v>
      </c>
      <c r="AS53" s="27">
        <v>1</v>
      </c>
      <c r="AT53" s="27">
        <v>0</v>
      </c>
      <c r="AU53" s="27">
        <v>0</v>
      </c>
      <c r="AV53" s="27">
        <v>1</v>
      </c>
      <c r="AW53" s="27">
        <v>1</v>
      </c>
      <c r="AX53" s="27">
        <v>0</v>
      </c>
      <c r="AY53" s="27">
        <v>1</v>
      </c>
      <c r="AZ53" s="27">
        <v>0</v>
      </c>
      <c r="BA53" s="27">
        <v>2</v>
      </c>
      <c r="BB53" s="27">
        <v>0</v>
      </c>
      <c r="BC53" s="27">
        <v>1</v>
      </c>
      <c r="BD53" s="27">
        <v>0</v>
      </c>
      <c r="BE53" s="27" t="s">
        <v>21</v>
      </c>
      <c r="BF53" s="27">
        <v>1</v>
      </c>
      <c r="BG53" s="27">
        <v>1</v>
      </c>
      <c r="BH53" s="27">
        <v>0</v>
      </c>
      <c r="BI53" s="27">
        <v>1</v>
      </c>
      <c r="BJ53" s="27">
        <v>0</v>
      </c>
      <c r="BK53" s="27">
        <v>0</v>
      </c>
      <c r="BL53" s="30">
        <v>3</v>
      </c>
      <c r="BM53" s="27">
        <v>0</v>
      </c>
      <c r="BN53" s="27">
        <v>0</v>
      </c>
      <c r="BO53" s="30">
        <v>3</v>
      </c>
      <c r="BP53" s="26">
        <v>0</v>
      </c>
      <c r="BQ53" s="27" t="s">
        <v>21</v>
      </c>
      <c r="BR53" s="26">
        <v>0</v>
      </c>
      <c r="BS53" s="29">
        <v>1</v>
      </c>
      <c r="BT53" s="26">
        <v>0</v>
      </c>
      <c r="BU53" s="29">
        <v>1</v>
      </c>
      <c r="BV53" s="26">
        <v>0</v>
      </c>
      <c r="BW53" s="29">
        <v>1</v>
      </c>
      <c r="BX53" s="26">
        <v>0</v>
      </c>
      <c r="BY53" s="29">
        <v>1</v>
      </c>
      <c r="BZ53" s="26">
        <v>1</v>
      </c>
    </row>
    <row r="54" spans="1:78" ht="16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</row>
    <row r="55" spans="1:78" ht="16.5">
      <c r="A55" s="65"/>
      <c r="B55" s="72" t="s">
        <v>64</v>
      </c>
      <c r="C55" s="73"/>
      <c r="D55" s="73"/>
      <c r="E55" s="73"/>
      <c r="F55" s="74"/>
      <c r="G55" s="1"/>
      <c r="H55" s="57" t="s">
        <v>54</v>
      </c>
      <c r="I55" s="61">
        <v>2520</v>
      </c>
      <c r="J55" s="1"/>
      <c r="K55" s="2"/>
      <c r="L55" s="2"/>
      <c r="M55" s="1"/>
      <c r="N55" s="2"/>
      <c r="O55" s="2"/>
      <c r="P55" s="2"/>
      <c r="Q55" s="2"/>
      <c r="R55" s="2"/>
      <c r="S55" s="2"/>
      <c r="T55" s="70" t="s">
        <v>1</v>
      </c>
      <c r="U55" s="70"/>
      <c r="V55" s="70"/>
      <c r="W55" s="70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</row>
    <row r="56" spans="1:78" ht="16.5" customHeight="1">
      <c r="A56" s="1"/>
      <c r="B56" s="2"/>
      <c r="C56" s="2"/>
      <c r="D56" s="2"/>
      <c r="E56" s="2"/>
      <c r="F56" s="2"/>
      <c r="G56" s="1"/>
      <c r="H56" s="58" t="s">
        <v>30</v>
      </c>
      <c r="I56" s="57" t="s">
        <v>11</v>
      </c>
      <c r="J56" s="1"/>
      <c r="K56" s="2"/>
      <c r="L56" s="2"/>
      <c r="M56" s="1"/>
      <c r="N56" s="2"/>
      <c r="O56" s="2"/>
      <c r="P56" s="2"/>
      <c r="Q56" s="2"/>
      <c r="R56" s="2"/>
      <c r="S56" s="1"/>
      <c r="T56" s="71" t="s">
        <v>7</v>
      </c>
      <c r="U56" s="71"/>
      <c r="V56" s="7" t="s">
        <v>8</v>
      </c>
      <c r="W56" s="7" t="s">
        <v>13</v>
      </c>
      <c r="X56" s="1"/>
      <c r="Y56" s="12">
        <f>Z56+1</f>
        <v>236</v>
      </c>
      <c r="Z56" s="12">
        <f>AA56+1</f>
        <v>235</v>
      </c>
      <c r="AA56" s="12">
        <f>AB56+1</f>
        <v>234</v>
      </c>
      <c r="AB56" s="12">
        <f>AC56+1</f>
        <v>233</v>
      </c>
      <c r="AC56" s="12">
        <f>AD56+1</f>
        <v>232</v>
      </c>
      <c r="AD56" s="12">
        <f>AE56+1</f>
        <v>231</v>
      </c>
      <c r="AE56" s="12">
        <f aca="true" t="shared" si="24" ref="AE56:BY56">AF56+1</f>
        <v>230</v>
      </c>
      <c r="AF56" s="12">
        <f t="shared" si="24"/>
        <v>229</v>
      </c>
      <c r="AG56" s="12">
        <f t="shared" si="24"/>
        <v>228</v>
      </c>
      <c r="AH56" s="12">
        <f t="shared" si="24"/>
        <v>227</v>
      </c>
      <c r="AI56" s="12">
        <f t="shared" si="24"/>
        <v>226</v>
      </c>
      <c r="AJ56" s="12">
        <f t="shared" si="24"/>
        <v>225</v>
      </c>
      <c r="AK56" s="12">
        <f t="shared" si="24"/>
        <v>224</v>
      </c>
      <c r="AL56" s="12">
        <f t="shared" si="24"/>
        <v>223</v>
      </c>
      <c r="AM56" s="12">
        <f t="shared" si="24"/>
        <v>222</v>
      </c>
      <c r="AN56" s="12">
        <f t="shared" si="24"/>
        <v>221</v>
      </c>
      <c r="AO56" s="12">
        <f t="shared" si="24"/>
        <v>220</v>
      </c>
      <c r="AP56" s="12">
        <f t="shared" si="24"/>
        <v>219</v>
      </c>
      <c r="AQ56" s="12">
        <f t="shared" si="24"/>
        <v>218</v>
      </c>
      <c r="AR56" s="12">
        <f t="shared" si="24"/>
        <v>217</v>
      </c>
      <c r="AS56" s="12">
        <f t="shared" si="24"/>
        <v>216</v>
      </c>
      <c r="AT56" s="12">
        <f t="shared" si="24"/>
        <v>215</v>
      </c>
      <c r="AU56" s="12">
        <f t="shared" si="24"/>
        <v>214</v>
      </c>
      <c r="AV56" s="12">
        <f t="shared" si="24"/>
        <v>213</v>
      </c>
      <c r="AW56" s="12">
        <f t="shared" si="24"/>
        <v>212</v>
      </c>
      <c r="AX56" s="12">
        <f t="shared" si="24"/>
        <v>211</v>
      </c>
      <c r="AY56" s="12">
        <f t="shared" si="24"/>
        <v>210</v>
      </c>
      <c r="AZ56" s="12">
        <f t="shared" si="24"/>
        <v>209</v>
      </c>
      <c r="BA56" s="12">
        <f t="shared" si="24"/>
        <v>208</v>
      </c>
      <c r="BB56" s="12">
        <f t="shared" si="24"/>
        <v>207</v>
      </c>
      <c r="BC56" s="13">
        <f t="shared" si="24"/>
        <v>206</v>
      </c>
      <c r="BD56" s="13">
        <f t="shared" si="24"/>
        <v>205</v>
      </c>
      <c r="BE56" s="12">
        <f t="shared" si="24"/>
        <v>204</v>
      </c>
      <c r="BF56" s="13">
        <f t="shared" si="24"/>
        <v>203</v>
      </c>
      <c r="BG56" s="12">
        <f t="shared" si="24"/>
        <v>202</v>
      </c>
      <c r="BH56" s="13">
        <f t="shared" si="24"/>
        <v>201</v>
      </c>
      <c r="BI56" s="12">
        <f t="shared" si="24"/>
        <v>200</v>
      </c>
      <c r="BJ56" s="12">
        <f t="shared" si="24"/>
        <v>199</v>
      </c>
      <c r="BK56" s="12">
        <f t="shared" si="24"/>
        <v>198</v>
      </c>
      <c r="BL56" s="12">
        <f t="shared" si="24"/>
        <v>197</v>
      </c>
      <c r="BM56" s="12">
        <f t="shared" si="24"/>
        <v>196</v>
      </c>
      <c r="BN56" s="12">
        <f t="shared" si="24"/>
        <v>195</v>
      </c>
      <c r="BO56" s="12">
        <f t="shared" si="24"/>
        <v>194</v>
      </c>
      <c r="BP56" s="12">
        <f t="shared" si="24"/>
        <v>193</v>
      </c>
      <c r="BQ56" s="12">
        <f t="shared" si="24"/>
        <v>192</v>
      </c>
      <c r="BR56" s="12">
        <f t="shared" si="24"/>
        <v>191</v>
      </c>
      <c r="BS56" s="12">
        <f t="shared" si="24"/>
        <v>190</v>
      </c>
      <c r="BT56" s="12">
        <f t="shared" si="24"/>
        <v>189</v>
      </c>
      <c r="BU56" s="12">
        <f t="shared" si="24"/>
        <v>188</v>
      </c>
      <c r="BV56" s="12">
        <f t="shared" si="24"/>
        <v>187</v>
      </c>
      <c r="BW56" s="12">
        <f t="shared" si="24"/>
        <v>186</v>
      </c>
      <c r="BX56" s="12">
        <f t="shared" si="24"/>
        <v>185</v>
      </c>
      <c r="BY56" s="12">
        <f t="shared" si="24"/>
        <v>184</v>
      </c>
      <c r="BZ56" s="12">
        <v>183</v>
      </c>
    </row>
    <row r="57" spans="1:78" ht="14.25" customHeight="1">
      <c r="A57" s="14"/>
      <c r="B57" s="2"/>
      <c r="C57" s="2"/>
      <c r="D57" s="2"/>
      <c r="E57" s="2"/>
      <c r="F57" s="2"/>
      <c r="G57" s="2"/>
      <c r="H57" s="20">
        <f>COUNTIF(X57:BZ57,"=3")*1*2</f>
        <v>4</v>
      </c>
      <c r="I57" s="21">
        <f>(H57*750000)/(W57*I55)</f>
        <v>25.87991718426501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2">
        <f>V57*7.8/(W57*6)</f>
        <v>0.8195652173913043</v>
      </c>
      <c r="U57" s="23" t="s">
        <v>16</v>
      </c>
      <c r="V57" s="18">
        <f>SUM(X57:BZ57)</f>
        <v>29</v>
      </c>
      <c r="W57" s="18">
        <f>COUNTIF(X57:BZ57,"&gt;=0")</f>
        <v>46</v>
      </c>
      <c r="Y57" s="24">
        <v>0</v>
      </c>
      <c r="Z57" s="24">
        <v>0</v>
      </c>
      <c r="AA57" s="24">
        <v>0</v>
      </c>
      <c r="AB57" s="24">
        <v>0</v>
      </c>
      <c r="AC57" s="27">
        <v>1</v>
      </c>
      <c r="AD57" s="27">
        <v>2</v>
      </c>
      <c r="AE57" s="24">
        <v>0</v>
      </c>
      <c r="AF57" s="24">
        <v>0</v>
      </c>
      <c r="AG57" s="24">
        <v>0</v>
      </c>
      <c r="AH57" s="27">
        <v>1</v>
      </c>
      <c r="AI57" s="27">
        <v>2</v>
      </c>
      <c r="AJ57" s="27" t="s">
        <v>21</v>
      </c>
      <c r="AK57" s="27" t="s">
        <v>21</v>
      </c>
      <c r="AL57" s="27" t="s">
        <v>21</v>
      </c>
      <c r="AM57" s="27" t="s">
        <v>21</v>
      </c>
      <c r="AN57" s="27" t="s">
        <v>21</v>
      </c>
      <c r="AO57" s="27" t="s">
        <v>21</v>
      </c>
      <c r="AP57" s="27">
        <v>0</v>
      </c>
      <c r="AQ57" s="27">
        <v>1</v>
      </c>
      <c r="AR57" s="27">
        <v>1</v>
      </c>
      <c r="AS57" s="27">
        <v>1</v>
      </c>
      <c r="AT57" s="27">
        <v>0</v>
      </c>
      <c r="AU57" s="27">
        <v>0</v>
      </c>
      <c r="AV57" s="27">
        <v>1</v>
      </c>
      <c r="AW57" s="27">
        <v>1</v>
      </c>
      <c r="AX57" s="27">
        <v>0</v>
      </c>
      <c r="AY57" s="27">
        <v>1</v>
      </c>
      <c r="AZ57" s="27">
        <v>0</v>
      </c>
      <c r="BA57" s="27">
        <v>2</v>
      </c>
      <c r="BB57" s="27">
        <v>0</v>
      </c>
      <c r="BC57" s="27">
        <v>1</v>
      </c>
      <c r="BD57" s="27">
        <v>0</v>
      </c>
      <c r="BE57" s="27" t="s">
        <v>21</v>
      </c>
      <c r="BF57" s="27">
        <v>1</v>
      </c>
      <c r="BG57" s="27">
        <v>1</v>
      </c>
      <c r="BH57" s="27">
        <v>0</v>
      </c>
      <c r="BI57" s="27">
        <v>1</v>
      </c>
      <c r="BJ57" s="27">
        <v>0</v>
      </c>
      <c r="BK57" s="27">
        <v>0</v>
      </c>
      <c r="BL57" s="30">
        <v>3</v>
      </c>
      <c r="BM57" s="27">
        <v>0</v>
      </c>
      <c r="BN57" s="27">
        <v>0</v>
      </c>
      <c r="BO57" s="30">
        <v>3</v>
      </c>
      <c r="BP57" s="26">
        <v>0</v>
      </c>
      <c r="BQ57" s="27" t="s">
        <v>21</v>
      </c>
      <c r="BR57" s="26">
        <v>0</v>
      </c>
      <c r="BS57" s="29">
        <v>1</v>
      </c>
      <c r="BT57" s="26">
        <v>0</v>
      </c>
      <c r="BU57" s="29">
        <v>1</v>
      </c>
      <c r="BV57" s="26">
        <v>0</v>
      </c>
      <c r="BW57" s="29">
        <v>1</v>
      </c>
      <c r="BX57" s="26">
        <v>0</v>
      </c>
      <c r="BY57" s="29">
        <v>1</v>
      </c>
      <c r="BZ57" s="26">
        <v>1</v>
      </c>
    </row>
    <row r="58" spans="1:78" ht="16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</row>
    <row r="59" spans="1:78" ht="16.5">
      <c r="A59" s="65"/>
      <c r="B59" s="67" t="s">
        <v>65</v>
      </c>
      <c r="C59" s="68"/>
      <c r="D59" s="68"/>
      <c r="E59" s="68"/>
      <c r="F59" s="69"/>
      <c r="G59" s="1"/>
      <c r="H59" s="56" t="s">
        <v>54</v>
      </c>
      <c r="I59" s="62">
        <v>31500</v>
      </c>
      <c r="J59" s="1"/>
      <c r="K59" s="2"/>
      <c r="L59" s="2"/>
      <c r="M59" s="1"/>
      <c r="N59" s="2"/>
      <c r="O59" s="2"/>
      <c r="P59" s="2"/>
      <c r="Q59" s="2"/>
      <c r="R59" s="2"/>
      <c r="S59" s="2"/>
      <c r="T59" s="70" t="s">
        <v>1</v>
      </c>
      <c r="U59" s="70"/>
      <c r="V59" s="70"/>
      <c r="W59" s="70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</row>
    <row r="60" spans="1:78" ht="16.5" customHeight="1">
      <c r="A60" s="1"/>
      <c r="B60" s="2"/>
      <c r="C60" s="2"/>
      <c r="D60" s="2"/>
      <c r="E60" s="2"/>
      <c r="F60" s="2"/>
      <c r="G60" s="1"/>
      <c r="H60" s="55" t="s">
        <v>52</v>
      </c>
      <c r="I60" s="56" t="s">
        <v>11</v>
      </c>
      <c r="J60" s="1"/>
      <c r="K60" s="2" t="s">
        <v>66</v>
      </c>
      <c r="L60" s="2"/>
      <c r="M60" s="1"/>
      <c r="N60" s="2"/>
      <c r="O60" s="2"/>
      <c r="P60" s="2"/>
      <c r="Q60" s="2"/>
      <c r="R60" s="2"/>
      <c r="S60" s="1"/>
      <c r="T60" s="71" t="s">
        <v>7</v>
      </c>
      <c r="U60" s="71"/>
      <c r="V60" s="7" t="s">
        <v>8</v>
      </c>
      <c r="W60" s="7" t="s">
        <v>13</v>
      </c>
      <c r="X60" s="1"/>
      <c r="Y60" s="12">
        <f>Z60+1</f>
        <v>236</v>
      </c>
      <c r="Z60" s="12">
        <f>AA60+1</f>
        <v>235</v>
      </c>
      <c r="AA60" s="12">
        <f>AB60+1</f>
        <v>234</v>
      </c>
      <c r="AB60" s="12">
        <f>AC60+1</f>
        <v>233</v>
      </c>
      <c r="AC60" s="12">
        <f>AD60+1</f>
        <v>232</v>
      </c>
      <c r="AD60" s="12">
        <f>AE60+1</f>
        <v>231</v>
      </c>
      <c r="AE60" s="12">
        <f aca="true" t="shared" si="25" ref="AE60:BY60">AF60+1</f>
        <v>230</v>
      </c>
      <c r="AF60" s="12">
        <f t="shared" si="25"/>
        <v>229</v>
      </c>
      <c r="AG60" s="12">
        <f t="shared" si="25"/>
        <v>228</v>
      </c>
      <c r="AH60" s="12">
        <f t="shared" si="25"/>
        <v>227</v>
      </c>
      <c r="AI60" s="12">
        <f t="shared" si="25"/>
        <v>226</v>
      </c>
      <c r="AJ60" s="12">
        <f t="shared" si="25"/>
        <v>225</v>
      </c>
      <c r="AK60" s="12">
        <f t="shared" si="25"/>
        <v>224</v>
      </c>
      <c r="AL60" s="12">
        <f t="shared" si="25"/>
        <v>223</v>
      </c>
      <c r="AM60" s="12">
        <f t="shared" si="25"/>
        <v>222</v>
      </c>
      <c r="AN60" s="12">
        <f t="shared" si="25"/>
        <v>221</v>
      </c>
      <c r="AO60" s="12">
        <f t="shared" si="25"/>
        <v>220</v>
      </c>
      <c r="AP60" s="12">
        <f t="shared" si="25"/>
        <v>219</v>
      </c>
      <c r="AQ60" s="12">
        <f t="shared" si="25"/>
        <v>218</v>
      </c>
      <c r="AR60" s="12">
        <f t="shared" si="25"/>
        <v>217</v>
      </c>
      <c r="AS60" s="12">
        <f t="shared" si="25"/>
        <v>216</v>
      </c>
      <c r="AT60" s="12">
        <f t="shared" si="25"/>
        <v>215</v>
      </c>
      <c r="AU60" s="12">
        <f t="shared" si="25"/>
        <v>214</v>
      </c>
      <c r="AV60" s="12">
        <f t="shared" si="25"/>
        <v>213</v>
      </c>
      <c r="AW60" s="12">
        <f t="shared" si="25"/>
        <v>212</v>
      </c>
      <c r="AX60" s="12">
        <f t="shared" si="25"/>
        <v>211</v>
      </c>
      <c r="AY60" s="12">
        <f t="shared" si="25"/>
        <v>210</v>
      </c>
      <c r="AZ60" s="12">
        <f t="shared" si="25"/>
        <v>209</v>
      </c>
      <c r="BA60" s="12">
        <f t="shared" si="25"/>
        <v>208</v>
      </c>
      <c r="BB60" s="12">
        <f t="shared" si="25"/>
        <v>207</v>
      </c>
      <c r="BC60" s="13">
        <f t="shared" si="25"/>
        <v>206</v>
      </c>
      <c r="BD60" s="13">
        <f t="shared" si="25"/>
        <v>205</v>
      </c>
      <c r="BE60" s="12">
        <f t="shared" si="25"/>
        <v>204</v>
      </c>
      <c r="BF60" s="13">
        <f t="shared" si="25"/>
        <v>203</v>
      </c>
      <c r="BG60" s="12">
        <f t="shared" si="25"/>
        <v>202</v>
      </c>
      <c r="BH60" s="13">
        <f t="shared" si="25"/>
        <v>201</v>
      </c>
      <c r="BI60" s="12">
        <f t="shared" si="25"/>
        <v>200</v>
      </c>
      <c r="BJ60" s="12">
        <f t="shared" si="25"/>
        <v>199</v>
      </c>
      <c r="BK60" s="12">
        <f t="shared" si="25"/>
        <v>198</v>
      </c>
      <c r="BL60" s="12">
        <f t="shared" si="25"/>
        <v>197</v>
      </c>
      <c r="BM60" s="12">
        <f t="shared" si="25"/>
        <v>196</v>
      </c>
      <c r="BN60" s="12">
        <f t="shared" si="25"/>
        <v>195</v>
      </c>
      <c r="BO60" s="12">
        <f t="shared" si="25"/>
        <v>194</v>
      </c>
      <c r="BP60" s="12">
        <f t="shared" si="25"/>
        <v>193</v>
      </c>
      <c r="BQ60" s="12">
        <f t="shared" si="25"/>
        <v>192</v>
      </c>
      <c r="BR60" s="12">
        <f t="shared" si="25"/>
        <v>191</v>
      </c>
      <c r="BS60" s="12">
        <f t="shared" si="25"/>
        <v>190</v>
      </c>
      <c r="BT60" s="12">
        <f t="shared" si="25"/>
        <v>189</v>
      </c>
      <c r="BU60" s="12">
        <f t="shared" si="25"/>
        <v>188</v>
      </c>
      <c r="BV60" s="12">
        <f t="shared" si="25"/>
        <v>187</v>
      </c>
      <c r="BW60" s="12">
        <f t="shared" si="25"/>
        <v>186</v>
      </c>
      <c r="BX60" s="12">
        <f t="shared" si="25"/>
        <v>185</v>
      </c>
      <c r="BY60" s="12">
        <f t="shared" si="25"/>
        <v>184</v>
      </c>
      <c r="BZ60" s="12">
        <v>183</v>
      </c>
    </row>
    <row r="61" spans="1:78" ht="14.25" customHeight="1">
      <c r="A61" s="14"/>
      <c r="B61" s="2"/>
      <c r="C61" s="2"/>
      <c r="D61" s="2"/>
      <c r="E61" s="2"/>
      <c r="F61" s="64" t="s">
        <v>57</v>
      </c>
      <c r="G61" s="2"/>
      <c r="H61" s="63">
        <f>COUNTIF(X61:BZ61,"=3")*1*1</f>
        <v>2</v>
      </c>
      <c r="I61" s="21">
        <f>(H61*6400000)/(W61*I59)</f>
        <v>8.83367839889579</v>
      </c>
      <c r="J61" s="2"/>
      <c r="K61" s="2" t="s">
        <v>67</v>
      </c>
      <c r="L61" s="2"/>
      <c r="M61" s="2"/>
      <c r="N61" s="2"/>
      <c r="O61" s="2"/>
      <c r="P61" s="2"/>
      <c r="Q61" s="2"/>
      <c r="R61" s="2"/>
      <c r="S61" s="2"/>
      <c r="T61" s="22">
        <f>V61*7.8/(W61*6)</f>
        <v>0.8195652173913043</v>
      </c>
      <c r="U61" s="23" t="s">
        <v>16</v>
      </c>
      <c r="V61" s="18">
        <f>SUM(X61:BZ61)</f>
        <v>29</v>
      </c>
      <c r="W61" s="18">
        <f>COUNTIF(X61:BZ61,"&gt;=0")</f>
        <v>46</v>
      </c>
      <c r="Y61" s="24">
        <v>0</v>
      </c>
      <c r="Z61" s="24">
        <v>0</v>
      </c>
      <c r="AA61" s="24">
        <v>0</v>
      </c>
      <c r="AB61" s="24">
        <v>0</v>
      </c>
      <c r="AC61" s="27">
        <v>1</v>
      </c>
      <c r="AD61" s="27">
        <v>2</v>
      </c>
      <c r="AE61" s="24">
        <v>0</v>
      </c>
      <c r="AF61" s="24">
        <v>0</v>
      </c>
      <c r="AG61" s="24">
        <v>0</v>
      </c>
      <c r="AH61" s="27">
        <v>1</v>
      </c>
      <c r="AI61" s="27">
        <v>2</v>
      </c>
      <c r="AJ61" s="27" t="s">
        <v>21</v>
      </c>
      <c r="AK61" s="27" t="s">
        <v>21</v>
      </c>
      <c r="AL61" s="27" t="s">
        <v>21</v>
      </c>
      <c r="AM61" s="27" t="s">
        <v>21</v>
      </c>
      <c r="AN61" s="27" t="s">
        <v>21</v>
      </c>
      <c r="AO61" s="27" t="s">
        <v>21</v>
      </c>
      <c r="AP61" s="27">
        <v>0</v>
      </c>
      <c r="AQ61" s="27">
        <v>1</v>
      </c>
      <c r="AR61" s="27">
        <v>1</v>
      </c>
      <c r="AS61" s="27">
        <v>1</v>
      </c>
      <c r="AT61" s="27">
        <v>0</v>
      </c>
      <c r="AU61" s="27">
        <v>0</v>
      </c>
      <c r="AV61" s="27">
        <v>1</v>
      </c>
      <c r="AW61" s="27">
        <v>1</v>
      </c>
      <c r="AX61" s="27">
        <v>0</v>
      </c>
      <c r="AY61" s="27">
        <v>1</v>
      </c>
      <c r="AZ61" s="27">
        <v>0</v>
      </c>
      <c r="BA61" s="27">
        <v>2</v>
      </c>
      <c r="BB61" s="27">
        <v>0</v>
      </c>
      <c r="BC61" s="27">
        <v>1</v>
      </c>
      <c r="BD61" s="27">
        <v>0</v>
      </c>
      <c r="BE61" s="27" t="s">
        <v>21</v>
      </c>
      <c r="BF61" s="27">
        <v>1</v>
      </c>
      <c r="BG61" s="27">
        <v>1</v>
      </c>
      <c r="BH61" s="27">
        <v>0</v>
      </c>
      <c r="BI61" s="27">
        <v>1</v>
      </c>
      <c r="BJ61" s="27">
        <v>0</v>
      </c>
      <c r="BK61" s="27">
        <v>0</v>
      </c>
      <c r="BL61" s="30">
        <v>3</v>
      </c>
      <c r="BM61" s="27">
        <v>0</v>
      </c>
      <c r="BN61" s="27">
        <v>0</v>
      </c>
      <c r="BO61" s="30">
        <v>3</v>
      </c>
      <c r="BP61" s="26">
        <v>0</v>
      </c>
      <c r="BQ61" s="27" t="s">
        <v>21</v>
      </c>
      <c r="BR61" s="26">
        <v>0</v>
      </c>
      <c r="BS61" s="29">
        <v>1</v>
      </c>
      <c r="BT61" s="26">
        <v>0</v>
      </c>
      <c r="BU61" s="29">
        <v>1</v>
      </c>
      <c r="BV61" s="26">
        <v>0</v>
      </c>
      <c r="BW61" s="29">
        <v>1</v>
      </c>
      <c r="BX61" s="26">
        <v>0</v>
      </c>
      <c r="BY61" s="29">
        <v>1</v>
      </c>
      <c r="BZ61" s="26">
        <v>1</v>
      </c>
    </row>
    <row r="62" spans="1:78" ht="16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</row>
    <row r="63" spans="1:78" ht="8.2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</row>
    <row r="64" spans="1:78" ht="16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</row>
    <row r="65" spans="1:78" ht="16.5">
      <c r="A65" s="2"/>
      <c r="B65" s="101" t="s">
        <v>48</v>
      </c>
      <c r="C65" s="102"/>
      <c r="D65" s="102"/>
      <c r="E65" s="102"/>
      <c r="F65" s="103"/>
      <c r="G65" s="1"/>
      <c r="H65" s="9" t="s">
        <v>53</v>
      </c>
      <c r="I65" s="59">
        <f>198*80</f>
        <v>15840</v>
      </c>
      <c r="J65" s="1"/>
      <c r="K65" s="2"/>
      <c r="L65" s="2"/>
      <c r="M65" s="1"/>
      <c r="N65" s="2"/>
      <c r="O65" s="2"/>
      <c r="P65" s="2"/>
      <c r="Q65" s="2"/>
      <c r="R65" s="2"/>
      <c r="S65" s="2"/>
      <c r="T65" s="70" t="s">
        <v>1</v>
      </c>
      <c r="U65" s="70"/>
      <c r="V65" s="70"/>
      <c r="W65" s="70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</row>
    <row r="66" spans="1:78" ht="16.5" customHeight="1">
      <c r="A66" s="1"/>
      <c r="B66" s="2"/>
      <c r="C66" s="2"/>
      <c r="D66" s="2"/>
      <c r="E66" s="2"/>
      <c r="F66" s="2"/>
      <c r="G66" s="1"/>
      <c r="H66" s="8" t="s">
        <v>10</v>
      </c>
      <c r="I66" s="9" t="s">
        <v>11</v>
      </c>
      <c r="J66" s="1"/>
      <c r="K66" s="2"/>
      <c r="L66" s="2"/>
      <c r="M66" s="1"/>
      <c r="N66" s="2"/>
      <c r="O66" s="2"/>
      <c r="P66" s="2"/>
      <c r="Q66" s="2"/>
      <c r="R66" s="2"/>
      <c r="S66" s="1"/>
      <c r="T66" s="71" t="s">
        <v>7</v>
      </c>
      <c r="U66" s="71"/>
      <c r="V66" s="7" t="s">
        <v>8</v>
      </c>
      <c r="W66" s="7" t="s">
        <v>13</v>
      </c>
      <c r="X66" s="1"/>
      <c r="Y66" s="12">
        <f>Z66+1</f>
        <v>236</v>
      </c>
      <c r="Z66" s="12">
        <f aca="true" t="shared" si="26" ref="Z66:AG66">AA66+1</f>
        <v>235</v>
      </c>
      <c r="AA66" s="12">
        <f t="shared" si="26"/>
        <v>234</v>
      </c>
      <c r="AB66" s="12">
        <f t="shared" si="26"/>
        <v>233</v>
      </c>
      <c r="AC66" s="12">
        <f t="shared" si="26"/>
        <v>232</v>
      </c>
      <c r="AD66" s="12">
        <f t="shared" si="26"/>
        <v>231</v>
      </c>
      <c r="AE66" s="12">
        <f t="shared" si="26"/>
        <v>230</v>
      </c>
      <c r="AF66" s="12">
        <f t="shared" si="26"/>
        <v>229</v>
      </c>
      <c r="AG66" s="12">
        <f t="shared" si="26"/>
        <v>228</v>
      </c>
      <c r="AH66" s="12">
        <f aca="true" t="shared" si="27" ref="AH66:BR66">AI66+1</f>
        <v>227</v>
      </c>
      <c r="AI66" s="12">
        <f t="shared" si="27"/>
        <v>226</v>
      </c>
      <c r="AJ66" s="12">
        <f t="shared" si="27"/>
        <v>225</v>
      </c>
      <c r="AK66" s="12">
        <f t="shared" si="27"/>
        <v>224</v>
      </c>
      <c r="AL66" s="12">
        <f t="shared" si="27"/>
        <v>223</v>
      </c>
      <c r="AM66" s="12">
        <f t="shared" si="27"/>
        <v>222</v>
      </c>
      <c r="AN66" s="12">
        <f t="shared" si="27"/>
        <v>221</v>
      </c>
      <c r="AO66" s="12">
        <f t="shared" si="27"/>
        <v>220</v>
      </c>
      <c r="AP66" s="12">
        <f t="shared" si="27"/>
        <v>219</v>
      </c>
      <c r="AQ66" s="12">
        <f t="shared" si="27"/>
        <v>218</v>
      </c>
      <c r="AR66" s="12">
        <f t="shared" si="27"/>
        <v>217</v>
      </c>
      <c r="AS66" s="12">
        <f t="shared" si="27"/>
        <v>216</v>
      </c>
      <c r="AT66" s="12">
        <f t="shared" si="27"/>
        <v>215</v>
      </c>
      <c r="AU66" s="12">
        <f t="shared" si="27"/>
        <v>214</v>
      </c>
      <c r="AV66" s="12">
        <f t="shared" si="27"/>
        <v>213</v>
      </c>
      <c r="AW66" s="12">
        <f t="shared" si="27"/>
        <v>212</v>
      </c>
      <c r="AX66" s="12">
        <f t="shared" si="27"/>
        <v>211</v>
      </c>
      <c r="AY66" s="12">
        <f t="shared" si="27"/>
        <v>210</v>
      </c>
      <c r="AZ66" s="12">
        <f t="shared" si="27"/>
        <v>209</v>
      </c>
      <c r="BA66" s="12">
        <f t="shared" si="27"/>
        <v>208</v>
      </c>
      <c r="BB66" s="12">
        <f t="shared" si="27"/>
        <v>207</v>
      </c>
      <c r="BC66" s="13">
        <f t="shared" si="27"/>
        <v>206</v>
      </c>
      <c r="BD66" s="13">
        <f t="shared" si="27"/>
        <v>205</v>
      </c>
      <c r="BE66" s="12">
        <f t="shared" si="27"/>
        <v>204</v>
      </c>
      <c r="BF66" s="13">
        <f t="shared" si="27"/>
        <v>203</v>
      </c>
      <c r="BG66" s="12">
        <f t="shared" si="27"/>
        <v>202</v>
      </c>
      <c r="BH66" s="13">
        <f t="shared" si="27"/>
        <v>201</v>
      </c>
      <c r="BI66" s="12">
        <f t="shared" si="27"/>
        <v>200</v>
      </c>
      <c r="BJ66" s="12">
        <f t="shared" si="27"/>
        <v>199</v>
      </c>
      <c r="BK66" s="12">
        <f t="shared" si="27"/>
        <v>198</v>
      </c>
      <c r="BL66" s="12">
        <f t="shared" si="27"/>
        <v>197</v>
      </c>
      <c r="BM66" s="12">
        <f t="shared" si="27"/>
        <v>196</v>
      </c>
      <c r="BN66" s="12">
        <f t="shared" si="27"/>
        <v>195</v>
      </c>
      <c r="BO66" s="12">
        <f t="shared" si="27"/>
        <v>194</v>
      </c>
      <c r="BP66" s="12">
        <f t="shared" si="27"/>
        <v>193</v>
      </c>
      <c r="BQ66" s="12">
        <f t="shared" si="27"/>
        <v>192</v>
      </c>
      <c r="BR66" s="12">
        <f t="shared" si="27"/>
        <v>191</v>
      </c>
      <c r="BS66" s="12">
        <f aca="true" t="shared" si="28" ref="BS66:BY66">BT66+1</f>
        <v>190</v>
      </c>
      <c r="BT66" s="12">
        <f t="shared" si="28"/>
        <v>189</v>
      </c>
      <c r="BU66" s="12">
        <f t="shared" si="28"/>
        <v>188</v>
      </c>
      <c r="BV66" s="12">
        <f t="shared" si="28"/>
        <v>187</v>
      </c>
      <c r="BW66" s="12">
        <f t="shared" si="28"/>
        <v>186</v>
      </c>
      <c r="BX66" s="12">
        <f t="shared" si="28"/>
        <v>185</v>
      </c>
      <c r="BY66" s="12">
        <f t="shared" si="28"/>
        <v>184</v>
      </c>
      <c r="BZ66" s="12">
        <v>183</v>
      </c>
    </row>
    <row r="67" spans="1:78" ht="14.25" customHeight="1">
      <c r="A67" s="14"/>
      <c r="B67" s="2"/>
      <c r="C67" s="2"/>
      <c r="D67" s="2"/>
      <c r="E67" s="2"/>
      <c r="F67" s="2"/>
      <c r="G67" s="2"/>
      <c r="H67" s="20">
        <f>COUNTIF(X67:BZ67,"=1")*1*4+COUNTIF(X67:BZ67,"=2")*2*3+COUNTIF(X67:BZ67,"=3")*3*2+COUNTIF(X67:BZ67,"=4")*4*1+COUNTIF(X67:BZ67,"=5")*0</f>
        <v>166</v>
      </c>
      <c r="I67" s="21">
        <f>(H67*5300)/(W67*I65)</f>
        <v>1.2074549846288978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2">
        <f>V67*7.8/(W67*6)</f>
        <v>1.4978260869565216</v>
      </c>
      <c r="U67" s="23" t="s">
        <v>16</v>
      </c>
      <c r="V67" s="18">
        <f>SUM(X67:BZ67)</f>
        <v>53</v>
      </c>
      <c r="W67" s="18">
        <f>COUNTIF(X67:BZ67,"&gt;=0")</f>
        <v>46</v>
      </c>
      <c r="Y67" s="24">
        <v>1</v>
      </c>
      <c r="Z67" s="24">
        <v>1</v>
      </c>
      <c r="AA67" s="24">
        <v>1</v>
      </c>
      <c r="AB67" s="24">
        <v>1</v>
      </c>
      <c r="AC67" s="24">
        <v>1</v>
      </c>
      <c r="AD67" s="30">
        <v>3</v>
      </c>
      <c r="AE67" s="24">
        <v>1</v>
      </c>
      <c r="AF67" s="24">
        <v>1</v>
      </c>
      <c r="AG67" s="24">
        <v>1</v>
      </c>
      <c r="AH67" s="24">
        <v>1</v>
      </c>
      <c r="AI67" s="30">
        <v>3</v>
      </c>
      <c r="AJ67" s="24" t="s">
        <v>21</v>
      </c>
      <c r="AK67" s="24" t="s">
        <v>21</v>
      </c>
      <c r="AL67" s="24" t="s">
        <v>21</v>
      </c>
      <c r="AM67" s="24" t="s">
        <v>21</v>
      </c>
      <c r="AN67" s="24" t="s">
        <v>21</v>
      </c>
      <c r="AO67" s="24" t="s">
        <v>21</v>
      </c>
      <c r="AP67" s="24">
        <v>0</v>
      </c>
      <c r="AQ67" s="24">
        <v>1</v>
      </c>
      <c r="AR67" s="24">
        <v>1</v>
      </c>
      <c r="AS67" s="24">
        <v>2</v>
      </c>
      <c r="AT67" s="24">
        <v>1</v>
      </c>
      <c r="AU67" s="24">
        <v>1</v>
      </c>
      <c r="AV67" s="30">
        <v>3</v>
      </c>
      <c r="AW67" s="24">
        <v>1</v>
      </c>
      <c r="AX67" s="24">
        <v>0</v>
      </c>
      <c r="AY67" s="24">
        <v>2</v>
      </c>
      <c r="AZ67" s="24">
        <v>0</v>
      </c>
      <c r="BA67" s="24">
        <v>2</v>
      </c>
      <c r="BB67" s="24">
        <v>0</v>
      </c>
      <c r="BC67" s="30">
        <v>3</v>
      </c>
      <c r="BD67" s="24">
        <v>0</v>
      </c>
      <c r="BE67" s="24" t="s">
        <v>21</v>
      </c>
      <c r="BF67" s="24">
        <v>1</v>
      </c>
      <c r="BG67" s="24">
        <v>1</v>
      </c>
      <c r="BH67" s="24">
        <v>1</v>
      </c>
      <c r="BI67" s="24">
        <v>1</v>
      </c>
      <c r="BJ67" s="24">
        <v>0</v>
      </c>
      <c r="BK67" s="24">
        <v>0</v>
      </c>
      <c r="BL67" s="30">
        <v>3</v>
      </c>
      <c r="BM67" s="24">
        <v>1</v>
      </c>
      <c r="BN67" s="24">
        <v>1</v>
      </c>
      <c r="BO67" s="30">
        <v>3</v>
      </c>
      <c r="BP67" s="24">
        <v>1</v>
      </c>
      <c r="BQ67" s="24" t="s">
        <v>21</v>
      </c>
      <c r="BR67" s="24">
        <v>0</v>
      </c>
      <c r="BS67" s="24">
        <v>1</v>
      </c>
      <c r="BT67" s="24">
        <v>0</v>
      </c>
      <c r="BU67" s="24">
        <v>2</v>
      </c>
      <c r="BV67" s="25">
        <v>1</v>
      </c>
      <c r="BW67" s="24">
        <v>2</v>
      </c>
      <c r="BX67" s="26">
        <v>0</v>
      </c>
      <c r="BY67" s="25">
        <v>1</v>
      </c>
      <c r="BZ67" s="25">
        <v>1</v>
      </c>
    </row>
    <row r="68" spans="1:78" ht="16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</row>
    <row r="69" spans="1:78" ht="16.5">
      <c r="A69" s="2"/>
      <c r="B69" s="92" t="s">
        <v>49</v>
      </c>
      <c r="C69" s="93"/>
      <c r="D69" s="93"/>
      <c r="E69" s="93"/>
      <c r="F69" s="94"/>
      <c r="G69" s="1"/>
      <c r="H69" s="11" t="s">
        <v>53</v>
      </c>
      <c r="I69" s="60">
        <v>34650</v>
      </c>
      <c r="J69" s="1"/>
      <c r="K69" s="2"/>
      <c r="L69" s="2"/>
      <c r="M69" s="1"/>
      <c r="N69" s="2"/>
      <c r="O69" s="2"/>
      <c r="P69" s="2"/>
      <c r="Q69" s="2"/>
      <c r="R69" s="2"/>
      <c r="S69" s="2"/>
      <c r="T69" s="70" t="s">
        <v>1</v>
      </c>
      <c r="U69" s="70"/>
      <c r="V69" s="70"/>
      <c r="W69" s="70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ht="16.5" customHeight="1">
      <c r="A70" s="1"/>
      <c r="B70" s="2"/>
      <c r="C70" s="2"/>
      <c r="D70" s="2"/>
      <c r="E70" s="2"/>
      <c r="F70" s="2"/>
      <c r="G70" s="1"/>
      <c r="H70" s="10" t="s">
        <v>12</v>
      </c>
      <c r="I70" s="11" t="s">
        <v>11</v>
      </c>
      <c r="J70" s="1"/>
      <c r="K70" s="2"/>
      <c r="L70" s="2"/>
      <c r="M70" s="1"/>
      <c r="N70" s="2"/>
      <c r="O70" s="2"/>
      <c r="P70" s="2"/>
      <c r="Q70" s="2"/>
      <c r="R70" s="2"/>
      <c r="S70" s="1"/>
      <c r="T70" s="71" t="s">
        <v>7</v>
      </c>
      <c r="U70" s="71"/>
      <c r="V70" s="7" t="s">
        <v>8</v>
      </c>
      <c r="W70" s="7" t="s">
        <v>13</v>
      </c>
      <c r="X70" s="1"/>
      <c r="Y70" s="12">
        <f>Z70+1</f>
        <v>236</v>
      </c>
      <c r="Z70" s="12">
        <f aca="true" t="shared" si="29" ref="Z70:AG70">AA70+1</f>
        <v>235</v>
      </c>
      <c r="AA70" s="12">
        <f t="shared" si="29"/>
        <v>234</v>
      </c>
      <c r="AB70" s="12">
        <f t="shared" si="29"/>
        <v>233</v>
      </c>
      <c r="AC70" s="12">
        <f t="shared" si="29"/>
        <v>232</v>
      </c>
      <c r="AD70" s="12">
        <f t="shared" si="29"/>
        <v>231</v>
      </c>
      <c r="AE70" s="12">
        <f t="shared" si="29"/>
        <v>230</v>
      </c>
      <c r="AF70" s="12">
        <f t="shared" si="29"/>
        <v>229</v>
      </c>
      <c r="AG70" s="12">
        <f t="shared" si="29"/>
        <v>228</v>
      </c>
      <c r="AH70" s="12">
        <f aca="true" t="shared" si="30" ref="AH70:BY70">AI70+1</f>
        <v>227</v>
      </c>
      <c r="AI70" s="12">
        <f t="shared" si="30"/>
        <v>226</v>
      </c>
      <c r="AJ70" s="12">
        <f t="shared" si="30"/>
        <v>225</v>
      </c>
      <c r="AK70" s="12">
        <f t="shared" si="30"/>
        <v>224</v>
      </c>
      <c r="AL70" s="12">
        <f t="shared" si="30"/>
        <v>223</v>
      </c>
      <c r="AM70" s="12">
        <f t="shared" si="30"/>
        <v>222</v>
      </c>
      <c r="AN70" s="12">
        <f t="shared" si="30"/>
        <v>221</v>
      </c>
      <c r="AO70" s="12">
        <f t="shared" si="30"/>
        <v>220</v>
      </c>
      <c r="AP70" s="12">
        <f t="shared" si="30"/>
        <v>219</v>
      </c>
      <c r="AQ70" s="12">
        <f t="shared" si="30"/>
        <v>218</v>
      </c>
      <c r="AR70" s="12">
        <f t="shared" si="30"/>
        <v>217</v>
      </c>
      <c r="AS70" s="12">
        <f t="shared" si="30"/>
        <v>216</v>
      </c>
      <c r="AT70" s="12">
        <f t="shared" si="30"/>
        <v>215</v>
      </c>
      <c r="AU70" s="12">
        <f t="shared" si="30"/>
        <v>214</v>
      </c>
      <c r="AV70" s="12">
        <f t="shared" si="30"/>
        <v>213</v>
      </c>
      <c r="AW70" s="12">
        <f t="shared" si="30"/>
        <v>212</v>
      </c>
      <c r="AX70" s="12">
        <f t="shared" si="30"/>
        <v>211</v>
      </c>
      <c r="AY70" s="12">
        <f t="shared" si="30"/>
        <v>210</v>
      </c>
      <c r="AZ70" s="12">
        <f t="shared" si="30"/>
        <v>209</v>
      </c>
      <c r="BA70" s="12">
        <f t="shared" si="30"/>
        <v>208</v>
      </c>
      <c r="BB70" s="12">
        <f t="shared" si="30"/>
        <v>207</v>
      </c>
      <c r="BC70" s="13">
        <f t="shared" si="30"/>
        <v>206</v>
      </c>
      <c r="BD70" s="13">
        <f t="shared" si="30"/>
        <v>205</v>
      </c>
      <c r="BE70" s="12">
        <f t="shared" si="30"/>
        <v>204</v>
      </c>
      <c r="BF70" s="13">
        <f t="shared" si="30"/>
        <v>203</v>
      </c>
      <c r="BG70" s="12">
        <f t="shared" si="30"/>
        <v>202</v>
      </c>
      <c r="BH70" s="13">
        <f t="shared" si="30"/>
        <v>201</v>
      </c>
      <c r="BI70" s="12">
        <f t="shared" si="30"/>
        <v>200</v>
      </c>
      <c r="BJ70" s="12">
        <f t="shared" si="30"/>
        <v>199</v>
      </c>
      <c r="BK70" s="12">
        <f t="shared" si="30"/>
        <v>198</v>
      </c>
      <c r="BL70" s="12">
        <f t="shared" si="30"/>
        <v>197</v>
      </c>
      <c r="BM70" s="12">
        <f t="shared" si="30"/>
        <v>196</v>
      </c>
      <c r="BN70" s="12">
        <f t="shared" si="30"/>
        <v>195</v>
      </c>
      <c r="BO70" s="12">
        <f t="shared" si="30"/>
        <v>194</v>
      </c>
      <c r="BP70" s="12">
        <f t="shared" si="30"/>
        <v>193</v>
      </c>
      <c r="BQ70" s="12">
        <f t="shared" si="30"/>
        <v>192</v>
      </c>
      <c r="BR70" s="12">
        <f t="shared" si="30"/>
        <v>191</v>
      </c>
      <c r="BS70" s="12">
        <f t="shared" si="30"/>
        <v>190</v>
      </c>
      <c r="BT70" s="12">
        <f t="shared" si="30"/>
        <v>189</v>
      </c>
      <c r="BU70" s="12">
        <f t="shared" si="30"/>
        <v>188</v>
      </c>
      <c r="BV70" s="12">
        <f t="shared" si="30"/>
        <v>187</v>
      </c>
      <c r="BW70" s="12">
        <f t="shared" si="30"/>
        <v>186</v>
      </c>
      <c r="BX70" s="12">
        <f t="shared" si="30"/>
        <v>185</v>
      </c>
      <c r="BY70" s="12">
        <f t="shared" si="30"/>
        <v>184</v>
      </c>
      <c r="BZ70" s="12">
        <v>183</v>
      </c>
    </row>
    <row r="71" spans="1:78" ht="14.25" customHeight="1">
      <c r="A71" s="14"/>
      <c r="B71" s="2"/>
      <c r="C71" s="2"/>
      <c r="D71" s="2"/>
      <c r="E71" s="2"/>
      <c r="F71" s="2"/>
      <c r="G71" s="2"/>
      <c r="H71" s="20">
        <f>COUNTIF(X71:BZ71,"=2")*1*3+COUNTIF(X71:BZ71,"=3")*3*2+COUNTIF(X71:BZ71,"=4")*6*1+COUNTIF(X71:BZ71,"=5")*0</f>
        <v>51</v>
      </c>
      <c r="I71" s="21">
        <f>(H71*56000)/(W71*I69)</f>
        <v>1.7918313570487483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2">
        <f>V71*7.8/(W71*6)</f>
        <v>1.4978260869565216</v>
      </c>
      <c r="U71" s="23" t="s">
        <v>16</v>
      </c>
      <c r="V71" s="18">
        <f>SUM(X71:BZ71)</f>
        <v>53</v>
      </c>
      <c r="W71" s="18">
        <f>COUNTIF(X71:BZ71,"&gt;=0")</f>
        <v>46</v>
      </c>
      <c r="Y71" s="24">
        <v>1</v>
      </c>
      <c r="Z71" s="24">
        <v>1</v>
      </c>
      <c r="AA71" s="24">
        <v>1</v>
      </c>
      <c r="AB71" s="24">
        <v>1</v>
      </c>
      <c r="AC71" s="24">
        <v>1</v>
      </c>
      <c r="AD71" s="30">
        <v>3</v>
      </c>
      <c r="AE71" s="24">
        <v>1</v>
      </c>
      <c r="AF71" s="24">
        <v>1</v>
      </c>
      <c r="AG71" s="24">
        <v>1</v>
      </c>
      <c r="AH71" s="24">
        <v>1</v>
      </c>
      <c r="AI71" s="30">
        <v>3</v>
      </c>
      <c r="AJ71" s="24" t="s">
        <v>21</v>
      </c>
      <c r="AK71" s="24" t="s">
        <v>21</v>
      </c>
      <c r="AL71" s="24" t="s">
        <v>21</v>
      </c>
      <c r="AM71" s="24" t="s">
        <v>21</v>
      </c>
      <c r="AN71" s="24" t="s">
        <v>21</v>
      </c>
      <c r="AO71" s="24" t="s">
        <v>21</v>
      </c>
      <c r="AP71" s="24">
        <v>0</v>
      </c>
      <c r="AQ71" s="24">
        <v>1</v>
      </c>
      <c r="AR71" s="24">
        <v>1</v>
      </c>
      <c r="AS71" s="24">
        <v>2</v>
      </c>
      <c r="AT71" s="24">
        <v>1</v>
      </c>
      <c r="AU71" s="24">
        <v>1</v>
      </c>
      <c r="AV71" s="30">
        <v>3</v>
      </c>
      <c r="AW71" s="24">
        <v>1</v>
      </c>
      <c r="AX71" s="24">
        <v>0</v>
      </c>
      <c r="AY71" s="24">
        <v>2</v>
      </c>
      <c r="AZ71" s="24">
        <v>0</v>
      </c>
      <c r="BA71" s="24">
        <v>2</v>
      </c>
      <c r="BB71" s="24">
        <v>0</v>
      </c>
      <c r="BC71" s="30">
        <v>3</v>
      </c>
      <c r="BD71" s="24">
        <v>0</v>
      </c>
      <c r="BE71" s="24" t="s">
        <v>21</v>
      </c>
      <c r="BF71" s="24">
        <v>1</v>
      </c>
      <c r="BG71" s="24">
        <v>1</v>
      </c>
      <c r="BH71" s="24">
        <v>1</v>
      </c>
      <c r="BI71" s="24">
        <v>1</v>
      </c>
      <c r="BJ71" s="24">
        <v>0</v>
      </c>
      <c r="BK71" s="24">
        <v>0</v>
      </c>
      <c r="BL71" s="30">
        <v>3</v>
      </c>
      <c r="BM71" s="24">
        <v>1</v>
      </c>
      <c r="BN71" s="24">
        <v>1</v>
      </c>
      <c r="BO71" s="30">
        <v>3</v>
      </c>
      <c r="BP71" s="24">
        <v>1</v>
      </c>
      <c r="BQ71" s="24" t="s">
        <v>21</v>
      </c>
      <c r="BR71" s="24">
        <v>0</v>
      </c>
      <c r="BS71" s="24">
        <v>1</v>
      </c>
      <c r="BT71" s="24">
        <v>0</v>
      </c>
      <c r="BU71" s="24">
        <v>2</v>
      </c>
      <c r="BV71" s="25">
        <v>1</v>
      </c>
      <c r="BW71" s="24">
        <v>2</v>
      </c>
      <c r="BX71" s="26">
        <v>0</v>
      </c>
      <c r="BY71" s="25">
        <v>1</v>
      </c>
      <c r="BZ71" s="25">
        <v>1</v>
      </c>
    </row>
    <row r="72" spans="1:78" ht="16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78" ht="16.5">
      <c r="A73" s="2"/>
      <c r="B73" s="95" t="s">
        <v>50</v>
      </c>
      <c r="C73" s="96"/>
      <c r="D73" s="96"/>
      <c r="E73" s="96"/>
      <c r="F73" s="97"/>
      <c r="G73" s="1"/>
      <c r="H73" s="57" t="s">
        <v>54</v>
      </c>
      <c r="I73" s="61"/>
      <c r="J73" s="1"/>
      <c r="K73" s="2"/>
      <c r="L73" s="2"/>
      <c r="M73" s="1"/>
      <c r="N73" s="2"/>
      <c r="O73" s="2"/>
      <c r="P73" s="2"/>
      <c r="Q73" s="2"/>
      <c r="R73" s="2"/>
      <c r="S73" s="2"/>
      <c r="T73" s="70" t="s">
        <v>1</v>
      </c>
      <c r="U73" s="70"/>
      <c r="V73" s="70"/>
      <c r="W73" s="70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78" ht="16.5" customHeight="1">
      <c r="A74" s="1"/>
      <c r="B74" s="2"/>
      <c r="C74" s="2"/>
      <c r="D74" s="2"/>
      <c r="E74" s="2"/>
      <c r="F74" s="2"/>
      <c r="G74" s="1"/>
      <c r="H74" s="58" t="s">
        <v>30</v>
      </c>
      <c r="I74" s="57" t="s">
        <v>11</v>
      </c>
      <c r="J74" s="1"/>
      <c r="K74" s="2"/>
      <c r="L74" s="2"/>
      <c r="M74" s="1"/>
      <c r="N74" s="2"/>
      <c r="O74" s="2"/>
      <c r="P74" s="2"/>
      <c r="Q74" s="2"/>
      <c r="R74" s="2"/>
      <c r="S74" s="1"/>
      <c r="T74" s="71" t="s">
        <v>7</v>
      </c>
      <c r="U74" s="71"/>
      <c r="V74" s="7" t="s">
        <v>8</v>
      </c>
      <c r="W74" s="7" t="s">
        <v>13</v>
      </c>
      <c r="X74" s="1"/>
      <c r="Y74" s="12">
        <f>Z74+1</f>
        <v>236</v>
      </c>
      <c r="Z74" s="12">
        <f aca="true" t="shared" si="31" ref="Z74:AG74">AA74+1</f>
        <v>235</v>
      </c>
      <c r="AA74" s="12">
        <f t="shared" si="31"/>
        <v>234</v>
      </c>
      <c r="AB74" s="12">
        <f t="shared" si="31"/>
        <v>233</v>
      </c>
      <c r="AC74" s="12">
        <f t="shared" si="31"/>
        <v>232</v>
      </c>
      <c r="AD74" s="12">
        <f t="shared" si="31"/>
        <v>231</v>
      </c>
      <c r="AE74" s="12">
        <f t="shared" si="31"/>
        <v>230</v>
      </c>
      <c r="AF74" s="12">
        <f t="shared" si="31"/>
        <v>229</v>
      </c>
      <c r="AG74" s="12">
        <f t="shared" si="31"/>
        <v>228</v>
      </c>
      <c r="AH74" s="12">
        <f aca="true" t="shared" si="32" ref="AH74:BY74">AI74+1</f>
        <v>227</v>
      </c>
      <c r="AI74" s="12">
        <f t="shared" si="32"/>
        <v>226</v>
      </c>
      <c r="AJ74" s="12">
        <f t="shared" si="32"/>
        <v>225</v>
      </c>
      <c r="AK74" s="12">
        <f t="shared" si="32"/>
        <v>224</v>
      </c>
      <c r="AL74" s="12">
        <f t="shared" si="32"/>
        <v>223</v>
      </c>
      <c r="AM74" s="12">
        <f t="shared" si="32"/>
        <v>222</v>
      </c>
      <c r="AN74" s="12">
        <f t="shared" si="32"/>
        <v>221</v>
      </c>
      <c r="AO74" s="12">
        <f t="shared" si="32"/>
        <v>220</v>
      </c>
      <c r="AP74" s="12">
        <f t="shared" si="32"/>
        <v>219</v>
      </c>
      <c r="AQ74" s="12">
        <f t="shared" si="32"/>
        <v>218</v>
      </c>
      <c r="AR74" s="12">
        <f t="shared" si="32"/>
        <v>217</v>
      </c>
      <c r="AS74" s="12">
        <f t="shared" si="32"/>
        <v>216</v>
      </c>
      <c r="AT74" s="12">
        <f t="shared" si="32"/>
        <v>215</v>
      </c>
      <c r="AU74" s="12">
        <f t="shared" si="32"/>
        <v>214</v>
      </c>
      <c r="AV74" s="12">
        <f t="shared" si="32"/>
        <v>213</v>
      </c>
      <c r="AW74" s="12">
        <f t="shared" si="32"/>
        <v>212</v>
      </c>
      <c r="AX74" s="12">
        <f t="shared" si="32"/>
        <v>211</v>
      </c>
      <c r="AY74" s="12">
        <f t="shared" si="32"/>
        <v>210</v>
      </c>
      <c r="AZ74" s="12">
        <f t="shared" si="32"/>
        <v>209</v>
      </c>
      <c r="BA74" s="12">
        <f t="shared" si="32"/>
        <v>208</v>
      </c>
      <c r="BB74" s="12">
        <f t="shared" si="32"/>
        <v>207</v>
      </c>
      <c r="BC74" s="13">
        <f t="shared" si="32"/>
        <v>206</v>
      </c>
      <c r="BD74" s="13">
        <f t="shared" si="32"/>
        <v>205</v>
      </c>
      <c r="BE74" s="12">
        <f t="shared" si="32"/>
        <v>204</v>
      </c>
      <c r="BF74" s="13">
        <f t="shared" si="32"/>
        <v>203</v>
      </c>
      <c r="BG74" s="12">
        <f t="shared" si="32"/>
        <v>202</v>
      </c>
      <c r="BH74" s="13">
        <f t="shared" si="32"/>
        <v>201</v>
      </c>
      <c r="BI74" s="12">
        <f t="shared" si="32"/>
        <v>200</v>
      </c>
      <c r="BJ74" s="12">
        <f t="shared" si="32"/>
        <v>199</v>
      </c>
      <c r="BK74" s="12">
        <f t="shared" si="32"/>
        <v>198</v>
      </c>
      <c r="BL74" s="12">
        <f t="shared" si="32"/>
        <v>197</v>
      </c>
      <c r="BM74" s="12">
        <f t="shared" si="32"/>
        <v>196</v>
      </c>
      <c r="BN74" s="12">
        <f t="shared" si="32"/>
        <v>195</v>
      </c>
      <c r="BO74" s="12">
        <f t="shared" si="32"/>
        <v>194</v>
      </c>
      <c r="BP74" s="12">
        <f t="shared" si="32"/>
        <v>193</v>
      </c>
      <c r="BQ74" s="12">
        <f t="shared" si="32"/>
        <v>192</v>
      </c>
      <c r="BR74" s="12">
        <f t="shared" si="32"/>
        <v>191</v>
      </c>
      <c r="BS74" s="12">
        <f t="shared" si="32"/>
        <v>190</v>
      </c>
      <c r="BT74" s="12">
        <f t="shared" si="32"/>
        <v>189</v>
      </c>
      <c r="BU74" s="12">
        <f t="shared" si="32"/>
        <v>188</v>
      </c>
      <c r="BV74" s="12">
        <f t="shared" si="32"/>
        <v>187</v>
      </c>
      <c r="BW74" s="12">
        <f t="shared" si="32"/>
        <v>186</v>
      </c>
      <c r="BX74" s="12">
        <f t="shared" si="32"/>
        <v>185</v>
      </c>
      <c r="BY74" s="12">
        <f t="shared" si="32"/>
        <v>184</v>
      </c>
      <c r="BZ74" s="12">
        <v>183</v>
      </c>
    </row>
    <row r="75" spans="1:78" ht="14.25" customHeight="1">
      <c r="A75" s="14"/>
      <c r="B75" s="2"/>
      <c r="C75" s="2"/>
      <c r="D75" s="2"/>
      <c r="E75" s="2"/>
      <c r="F75" s="2"/>
      <c r="G75" s="2"/>
      <c r="H75" s="20">
        <f>COUNTIF(X75:BZ75,"=4")+COUNTIF(X75:BZ75,"=5")*5</f>
        <v>0</v>
      </c>
      <c r="I75" s="21">
        <f>(H75*56000)/(W75*214200)</f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2">
        <f>V75*7.8/(W75*6)</f>
        <v>1.4978260869565216</v>
      </c>
      <c r="U75" s="23" t="s">
        <v>16</v>
      </c>
      <c r="V75" s="18">
        <f>SUM(X75:BZ75)</f>
        <v>53</v>
      </c>
      <c r="W75" s="18">
        <f>COUNTIF(X75:BZ75,"&gt;=0")</f>
        <v>46</v>
      </c>
      <c r="Y75" s="24">
        <v>1</v>
      </c>
      <c r="Z75" s="24">
        <v>1</v>
      </c>
      <c r="AA75" s="24">
        <v>1</v>
      </c>
      <c r="AB75" s="24">
        <v>1</v>
      </c>
      <c r="AC75" s="24">
        <v>1</v>
      </c>
      <c r="AD75" s="30">
        <v>3</v>
      </c>
      <c r="AE75" s="24">
        <v>1</v>
      </c>
      <c r="AF75" s="24">
        <v>1</v>
      </c>
      <c r="AG75" s="24">
        <v>1</v>
      </c>
      <c r="AH75" s="24">
        <v>1</v>
      </c>
      <c r="AI75" s="30">
        <v>3</v>
      </c>
      <c r="AJ75" s="24" t="s">
        <v>21</v>
      </c>
      <c r="AK75" s="24" t="s">
        <v>21</v>
      </c>
      <c r="AL75" s="24" t="s">
        <v>21</v>
      </c>
      <c r="AM75" s="24" t="s">
        <v>21</v>
      </c>
      <c r="AN75" s="24" t="s">
        <v>21</v>
      </c>
      <c r="AO75" s="24" t="s">
        <v>21</v>
      </c>
      <c r="AP75" s="24">
        <v>0</v>
      </c>
      <c r="AQ75" s="24">
        <v>1</v>
      </c>
      <c r="AR75" s="24">
        <v>1</v>
      </c>
      <c r="AS75" s="24">
        <v>2</v>
      </c>
      <c r="AT75" s="24">
        <v>1</v>
      </c>
      <c r="AU75" s="24">
        <v>1</v>
      </c>
      <c r="AV75" s="30">
        <v>3</v>
      </c>
      <c r="AW75" s="24">
        <v>1</v>
      </c>
      <c r="AX75" s="24">
        <v>0</v>
      </c>
      <c r="AY75" s="24">
        <v>2</v>
      </c>
      <c r="AZ75" s="24">
        <v>0</v>
      </c>
      <c r="BA75" s="24">
        <v>2</v>
      </c>
      <c r="BB75" s="24">
        <v>0</v>
      </c>
      <c r="BC75" s="30">
        <v>3</v>
      </c>
      <c r="BD75" s="24">
        <v>0</v>
      </c>
      <c r="BE75" s="24" t="s">
        <v>21</v>
      </c>
      <c r="BF75" s="24">
        <v>1</v>
      </c>
      <c r="BG75" s="24">
        <v>1</v>
      </c>
      <c r="BH75" s="24">
        <v>1</v>
      </c>
      <c r="BI75" s="24">
        <v>1</v>
      </c>
      <c r="BJ75" s="24">
        <v>0</v>
      </c>
      <c r="BK75" s="24">
        <v>0</v>
      </c>
      <c r="BL75" s="30">
        <v>3</v>
      </c>
      <c r="BM75" s="24">
        <v>1</v>
      </c>
      <c r="BN75" s="24">
        <v>1</v>
      </c>
      <c r="BO75" s="30">
        <v>3</v>
      </c>
      <c r="BP75" s="24">
        <v>1</v>
      </c>
      <c r="BQ75" s="24" t="s">
        <v>21</v>
      </c>
      <c r="BR75" s="24">
        <v>0</v>
      </c>
      <c r="BS75" s="24">
        <v>1</v>
      </c>
      <c r="BT75" s="24">
        <v>0</v>
      </c>
      <c r="BU75" s="24">
        <v>2</v>
      </c>
      <c r="BV75" s="25">
        <v>1</v>
      </c>
      <c r="BW75" s="24">
        <v>2</v>
      </c>
      <c r="BX75" s="26">
        <v>0</v>
      </c>
      <c r="BY75" s="25">
        <v>1</v>
      </c>
      <c r="BZ75" s="25">
        <v>1</v>
      </c>
    </row>
    <row r="76" spans="1:78" ht="16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78" ht="16.5">
      <c r="A77" s="2"/>
      <c r="B77" s="89" t="s">
        <v>51</v>
      </c>
      <c r="C77" s="90"/>
      <c r="D77" s="90"/>
      <c r="E77" s="90"/>
      <c r="F77" s="91"/>
      <c r="G77" s="1"/>
      <c r="H77" s="56" t="s">
        <v>54</v>
      </c>
      <c r="I77" s="62"/>
      <c r="J77" s="1"/>
      <c r="K77" s="2"/>
      <c r="L77" s="2"/>
      <c r="M77" s="1"/>
      <c r="N77" s="2"/>
      <c r="O77" s="2"/>
      <c r="P77" s="2"/>
      <c r="Q77" s="2"/>
      <c r="R77" s="2"/>
      <c r="S77" s="2"/>
      <c r="T77" s="70" t="s">
        <v>1</v>
      </c>
      <c r="U77" s="70"/>
      <c r="V77" s="70"/>
      <c r="W77" s="70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ht="16.5" customHeight="1">
      <c r="A78" s="1"/>
      <c r="B78" s="2"/>
      <c r="C78" s="2"/>
      <c r="D78" s="2"/>
      <c r="E78" s="2"/>
      <c r="F78" s="2"/>
      <c r="G78" s="1"/>
      <c r="H78" s="55" t="s">
        <v>52</v>
      </c>
      <c r="I78" s="56" t="s">
        <v>11</v>
      </c>
      <c r="J78" s="1"/>
      <c r="K78" s="2"/>
      <c r="L78" s="2"/>
      <c r="M78" s="1"/>
      <c r="N78" s="2"/>
      <c r="O78" s="2"/>
      <c r="P78" s="2"/>
      <c r="Q78" s="2"/>
      <c r="R78" s="2"/>
      <c r="S78" s="1"/>
      <c r="T78" s="71" t="s">
        <v>7</v>
      </c>
      <c r="U78" s="71"/>
      <c r="V78" s="7" t="s">
        <v>8</v>
      </c>
      <c r="W78" s="7" t="s">
        <v>13</v>
      </c>
      <c r="X78" s="1"/>
      <c r="Y78" s="12">
        <f>Z78+1</f>
        <v>236</v>
      </c>
      <c r="Z78" s="12">
        <f aca="true" t="shared" si="33" ref="Z78:AG78">AA78+1</f>
        <v>235</v>
      </c>
      <c r="AA78" s="12">
        <f t="shared" si="33"/>
        <v>234</v>
      </c>
      <c r="AB78" s="12">
        <f t="shared" si="33"/>
        <v>233</v>
      </c>
      <c r="AC78" s="12">
        <f t="shared" si="33"/>
        <v>232</v>
      </c>
      <c r="AD78" s="12">
        <f t="shared" si="33"/>
        <v>231</v>
      </c>
      <c r="AE78" s="12">
        <f t="shared" si="33"/>
        <v>230</v>
      </c>
      <c r="AF78" s="12">
        <f t="shared" si="33"/>
        <v>229</v>
      </c>
      <c r="AG78" s="12">
        <f t="shared" si="33"/>
        <v>228</v>
      </c>
      <c r="AH78" s="12">
        <f aca="true" t="shared" si="34" ref="AH78:BY78">AI78+1</f>
        <v>227</v>
      </c>
      <c r="AI78" s="12">
        <f t="shared" si="34"/>
        <v>226</v>
      </c>
      <c r="AJ78" s="12">
        <f t="shared" si="34"/>
        <v>225</v>
      </c>
      <c r="AK78" s="12">
        <f t="shared" si="34"/>
        <v>224</v>
      </c>
      <c r="AL78" s="12">
        <f t="shared" si="34"/>
        <v>223</v>
      </c>
      <c r="AM78" s="12">
        <f t="shared" si="34"/>
        <v>222</v>
      </c>
      <c r="AN78" s="12">
        <f t="shared" si="34"/>
        <v>221</v>
      </c>
      <c r="AO78" s="12">
        <f t="shared" si="34"/>
        <v>220</v>
      </c>
      <c r="AP78" s="12">
        <f t="shared" si="34"/>
        <v>219</v>
      </c>
      <c r="AQ78" s="12">
        <f t="shared" si="34"/>
        <v>218</v>
      </c>
      <c r="AR78" s="12">
        <f t="shared" si="34"/>
        <v>217</v>
      </c>
      <c r="AS78" s="12">
        <f t="shared" si="34"/>
        <v>216</v>
      </c>
      <c r="AT78" s="12">
        <f t="shared" si="34"/>
        <v>215</v>
      </c>
      <c r="AU78" s="12">
        <f t="shared" si="34"/>
        <v>214</v>
      </c>
      <c r="AV78" s="12">
        <f t="shared" si="34"/>
        <v>213</v>
      </c>
      <c r="AW78" s="12">
        <f t="shared" si="34"/>
        <v>212</v>
      </c>
      <c r="AX78" s="12">
        <f t="shared" si="34"/>
        <v>211</v>
      </c>
      <c r="AY78" s="12">
        <f t="shared" si="34"/>
        <v>210</v>
      </c>
      <c r="AZ78" s="12">
        <f t="shared" si="34"/>
        <v>209</v>
      </c>
      <c r="BA78" s="12">
        <f t="shared" si="34"/>
        <v>208</v>
      </c>
      <c r="BB78" s="12">
        <f t="shared" si="34"/>
        <v>207</v>
      </c>
      <c r="BC78" s="13">
        <f t="shared" si="34"/>
        <v>206</v>
      </c>
      <c r="BD78" s="13">
        <f t="shared" si="34"/>
        <v>205</v>
      </c>
      <c r="BE78" s="12">
        <f t="shared" si="34"/>
        <v>204</v>
      </c>
      <c r="BF78" s="13">
        <f t="shared" si="34"/>
        <v>203</v>
      </c>
      <c r="BG78" s="12">
        <f t="shared" si="34"/>
        <v>202</v>
      </c>
      <c r="BH78" s="13">
        <f t="shared" si="34"/>
        <v>201</v>
      </c>
      <c r="BI78" s="12">
        <f t="shared" si="34"/>
        <v>200</v>
      </c>
      <c r="BJ78" s="12">
        <f t="shared" si="34"/>
        <v>199</v>
      </c>
      <c r="BK78" s="12">
        <f t="shared" si="34"/>
        <v>198</v>
      </c>
      <c r="BL78" s="12">
        <f t="shared" si="34"/>
        <v>197</v>
      </c>
      <c r="BM78" s="12">
        <f t="shared" si="34"/>
        <v>196</v>
      </c>
      <c r="BN78" s="12">
        <f t="shared" si="34"/>
        <v>195</v>
      </c>
      <c r="BO78" s="12">
        <f t="shared" si="34"/>
        <v>194</v>
      </c>
      <c r="BP78" s="12">
        <f t="shared" si="34"/>
        <v>193</v>
      </c>
      <c r="BQ78" s="12">
        <f t="shared" si="34"/>
        <v>192</v>
      </c>
      <c r="BR78" s="12">
        <f t="shared" si="34"/>
        <v>191</v>
      </c>
      <c r="BS78" s="12">
        <f t="shared" si="34"/>
        <v>190</v>
      </c>
      <c r="BT78" s="12">
        <f t="shared" si="34"/>
        <v>189</v>
      </c>
      <c r="BU78" s="12">
        <f t="shared" si="34"/>
        <v>188</v>
      </c>
      <c r="BV78" s="12">
        <f t="shared" si="34"/>
        <v>187</v>
      </c>
      <c r="BW78" s="12">
        <f t="shared" si="34"/>
        <v>186</v>
      </c>
      <c r="BX78" s="12">
        <f t="shared" si="34"/>
        <v>185</v>
      </c>
      <c r="BY78" s="12">
        <f t="shared" si="34"/>
        <v>184</v>
      </c>
      <c r="BZ78" s="12">
        <v>183</v>
      </c>
    </row>
    <row r="79" spans="1:78" ht="14.25" customHeight="1">
      <c r="A79" s="14"/>
      <c r="B79" s="2"/>
      <c r="C79" s="2"/>
      <c r="D79" s="2"/>
      <c r="E79" s="2"/>
      <c r="F79" s="2"/>
      <c r="G79" s="2"/>
      <c r="H79" s="20">
        <f>COUNTIF(X79:BZ79,"=4")+COUNTIF(X79:BZ79,"=5")*5</f>
        <v>0</v>
      </c>
      <c r="I79" s="21">
        <f>(H79*56000)/(W79*214200)</f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2">
        <f>V79*7.8/(W79*6)</f>
        <v>1.4978260869565216</v>
      </c>
      <c r="U79" s="23" t="s">
        <v>16</v>
      </c>
      <c r="V79" s="18">
        <f>SUM(X79:BZ79)</f>
        <v>53</v>
      </c>
      <c r="W79" s="18">
        <f>COUNTIF(X79:BZ79,"&gt;=0")</f>
        <v>46</v>
      </c>
      <c r="Y79" s="24">
        <v>1</v>
      </c>
      <c r="Z79" s="24">
        <v>1</v>
      </c>
      <c r="AA79" s="24">
        <v>1</v>
      </c>
      <c r="AB79" s="24">
        <v>1</v>
      </c>
      <c r="AC79" s="24">
        <v>1</v>
      </c>
      <c r="AD79" s="30">
        <v>3</v>
      </c>
      <c r="AE79" s="24">
        <v>1</v>
      </c>
      <c r="AF79" s="24">
        <v>1</v>
      </c>
      <c r="AG79" s="24">
        <v>1</v>
      </c>
      <c r="AH79" s="24">
        <v>1</v>
      </c>
      <c r="AI79" s="30">
        <v>3</v>
      </c>
      <c r="AJ79" s="24" t="s">
        <v>21</v>
      </c>
      <c r="AK79" s="24" t="s">
        <v>21</v>
      </c>
      <c r="AL79" s="24" t="s">
        <v>21</v>
      </c>
      <c r="AM79" s="24" t="s">
        <v>21</v>
      </c>
      <c r="AN79" s="24" t="s">
        <v>21</v>
      </c>
      <c r="AO79" s="24" t="s">
        <v>21</v>
      </c>
      <c r="AP79" s="24">
        <v>0</v>
      </c>
      <c r="AQ79" s="24">
        <v>1</v>
      </c>
      <c r="AR79" s="24">
        <v>1</v>
      </c>
      <c r="AS79" s="24">
        <v>2</v>
      </c>
      <c r="AT79" s="24">
        <v>1</v>
      </c>
      <c r="AU79" s="24">
        <v>1</v>
      </c>
      <c r="AV79" s="30">
        <v>3</v>
      </c>
      <c r="AW79" s="24">
        <v>1</v>
      </c>
      <c r="AX79" s="24">
        <v>0</v>
      </c>
      <c r="AY79" s="24">
        <v>2</v>
      </c>
      <c r="AZ79" s="24">
        <v>0</v>
      </c>
      <c r="BA79" s="24">
        <v>2</v>
      </c>
      <c r="BB79" s="24">
        <v>0</v>
      </c>
      <c r="BC79" s="30">
        <v>3</v>
      </c>
      <c r="BD79" s="24">
        <v>0</v>
      </c>
      <c r="BE79" s="24" t="s">
        <v>21</v>
      </c>
      <c r="BF79" s="24">
        <v>1</v>
      </c>
      <c r="BG79" s="24">
        <v>1</v>
      </c>
      <c r="BH79" s="24">
        <v>1</v>
      </c>
      <c r="BI79" s="24">
        <v>1</v>
      </c>
      <c r="BJ79" s="24">
        <v>0</v>
      </c>
      <c r="BK79" s="24">
        <v>0</v>
      </c>
      <c r="BL79" s="30">
        <v>3</v>
      </c>
      <c r="BM79" s="24">
        <v>1</v>
      </c>
      <c r="BN79" s="24">
        <v>1</v>
      </c>
      <c r="BO79" s="30">
        <v>3</v>
      </c>
      <c r="BP79" s="24">
        <v>1</v>
      </c>
      <c r="BQ79" s="24" t="s">
        <v>21</v>
      </c>
      <c r="BR79" s="24">
        <v>0</v>
      </c>
      <c r="BS79" s="24">
        <v>1</v>
      </c>
      <c r="BT79" s="24">
        <v>0</v>
      </c>
      <c r="BU79" s="24">
        <v>2</v>
      </c>
      <c r="BV79" s="25">
        <v>1</v>
      </c>
      <c r="BW79" s="24">
        <v>2</v>
      </c>
      <c r="BX79" s="26">
        <v>0</v>
      </c>
      <c r="BY79" s="25">
        <v>1</v>
      </c>
      <c r="BZ79" s="25">
        <v>1</v>
      </c>
    </row>
    <row r="80" spans="1:78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2" spans="1:2" ht="16.5">
      <c r="A82" s="50" t="s">
        <v>44</v>
      </c>
      <c r="B82" t="s">
        <v>60</v>
      </c>
    </row>
    <row r="83" ht="8.25" customHeight="1"/>
    <row r="84" spans="1:2" ht="16.5">
      <c r="A84" s="66">
        <v>205</v>
      </c>
      <c r="B84" t="s">
        <v>61</v>
      </c>
    </row>
    <row r="85" ht="8.25" customHeight="1"/>
    <row r="86" spans="1:2" ht="16.5">
      <c r="A86" t="s">
        <v>63</v>
      </c>
      <c r="B86" t="s">
        <v>62</v>
      </c>
    </row>
  </sheetData>
  <mergeCells count="87">
    <mergeCell ref="B43:F43"/>
    <mergeCell ref="T43:W43"/>
    <mergeCell ref="T44:U44"/>
    <mergeCell ref="T65:W65"/>
    <mergeCell ref="B65:F65"/>
    <mergeCell ref="B47:F47"/>
    <mergeCell ref="T47:W47"/>
    <mergeCell ref="T48:U48"/>
    <mergeCell ref="B51:F51"/>
    <mergeCell ref="T51:W51"/>
    <mergeCell ref="B77:F77"/>
    <mergeCell ref="T77:W77"/>
    <mergeCell ref="T66:U66"/>
    <mergeCell ref="T74:U74"/>
    <mergeCell ref="B69:F69"/>
    <mergeCell ref="T69:W69"/>
    <mergeCell ref="T73:W73"/>
    <mergeCell ref="T70:U70"/>
    <mergeCell ref="B73:F73"/>
    <mergeCell ref="T78:U78"/>
    <mergeCell ref="N17:O17"/>
    <mergeCell ref="T17:W17"/>
    <mergeCell ref="C18:D18"/>
    <mergeCell ref="T18:U18"/>
    <mergeCell ref="C21:F21"/>
    <mergeCell ref="H21:I21"/>
    <mergeCell ref="N21:O21"/>
    <mergeCell ref="T21:W21"/>
    <mergeCell ref="C22:D22"/>
    <mergeCell ref="B4:F4"/>
    <mergeCell ref="H4:I4"/>
    <mergeCell ref="N4:O4"/>
    <mergeCell ref="Q4:R4"/>
    <mergeCell ref="K4:L4"/>
    <mergeCell ref="C5:F5"/>
    <mergeCell ref="H5:I5"/>
    <mergeCell ref="T5:W5"/>
    <mergeCell ref="C13:F13"/>
    <mergeCell ref="H13:I13"/>
    <mergeCell ref="T13:W13"/>
    <mergeCell ref="N13:O13"/>
    <mergeCell ref="C6:D6"/>
    <mergeCell ref="T6:U6"/>
    <mergeCell ref="C9:F9"/>
    <mergeCell ref="H9:I9"/>
    <mergeCell ref="T9:W9"/>
    <mergeCell ref="C10:D10"/>
    <mergeCell ref="T10:U10"/>
    <mergeCell ref="C14:D14"/>
    <mergeCell ref="T14:U14"/>
    <mergeCell ref="C17:F17"/>
    <mergeCell ref="H17:I17"/>
    <mergeCell ref="T22:U22"/>
    <mergeCell ref="C25:F25"/>
    <mergeCell ref="H25:I25"/>
    <mergeCell ref="N25:O25"/>
    <mergeCell ref="T25:W25"/>
    <mergeCell ref="C26:D26"/>
    <mergeCell ref="T26:U26"/>
    <mergeCell ref="C29:F29"/>
    <mergeCell ref="H29:I29"/>
    <mergeCell ref="N29:O29"/>
    <mergeCell ref="T29:W29"/>
    <mergeCell ref="K29:L29"/>
    <mergeCell ref="C30:D30"/>
    <mergeCell ref="T30:U30"/>
    <mergeCell ref="C33:F33"/>
    <mergeCell ref="H33:I33"/>
    <mergeCell ref="K33:L33"/>
    <mergeCell ref="N33:O33"/>
    <mergeCell ref="T33:W33"/>
    <mergeCell ref="C38:D38"/>
    <mergeCell ref="T38:U38"/>
    <mergeCell ref="C34:D34"/>
    <mergeCell ref="T34:U34"/>
    <mergeCell ref="C37:F37"/>
    <mergeCell ref="H37:I37"/>
    <mergeCell ref="K37:L37"/>
    <mergeCell ref="N37:O37"/>
    <mergeCell ref="T37:W37"/>
    <mergeCell ref="B59:F59"/>
    <mergeCell ref="T59:W59"/>
    <mergeCell ref="T60:U60"/>
    <mergeCell ref="T52:U52"/>
    <mergeCell ref="B55:F55"/>
    <mergeCell ref="T55:W55"/>
    <mergeCell ref="T56:U56"/>
  </mergeCells>
  <conditionalFormatting sqref="U7 D7 U23 U11 D23 U39 D27 U27 U31 D31 U35 D35 U79 D11 D15 U15 D19 U19 U67 U71 U75 D39 U61 U49 U53 U57 U45">
    <cfRule type="expression" priority="1" dxfId="0" stopIfTrue="1">
      <formula>(C7&gt;=2)</formula>
    </cfRule>
    <cfRule type="expression" priority="2" dxfId="1" stopIfTrue="1">
      <formula>(C7&lt;1.2)</formula>
    </cfRule>
  </conditionalFormatting>
  <conditionalFormatting sqref="I19 I71 I67 L39 I39 O35 L35 O31 L31 O27 I7 I79 O23 I35 I27 I31 I11 O15 I23 I15 O19 I75 O39 I53 I49 I61 I57 I45">
    <cfRule type="cellIs" priority="3" dxfId="2" operator="between" stopIfTrue="1">
      <formula>1</formula>
      <formula>2</formula>
    </cfRule>
    <cfRule type="cellIs" priority="4" dxfId="3" operator="greaterThan" stopIfTrue="1">
      <formula>2</formula>
    </cfRule>
  </conditionalFormatting>
  <conditionalFormatting sqref="T19 T71 T67 T31 T27 C23 T11 T7 C7 T23 T39 C27 C31 T35 C35 T79 C11 C15 T15 C19 T75 C39 T53 T49 T61 T57 T45">
    <cfRule type="cellIs" priority="5" dxfId="3" operator="greaterThanOrEqual" stopIfTrue="1">
      <formula>2</formula>
    </cfRule>
    <cfRule type="cellIs" priority="6" dxfId="4" operator="lessThan" stopIfTrue="1">
      <formula>1.2</formula>
    </cfRule>
  </conditionalFormatting>
  <conditionalFormatting sqref="W79 W71 W67 W27 W23 W7 W31 W35 W75 W39 W61 W53 W49 W57 W45">
    <cfRule type="cellIs" priority="7" dxfId="5" operator="greaterThanOrEqual" stopIfTrue="1">
      <formula>100</formula>
    </cfRule>
  </conditionalFormatting>
  <conditionalFormatting sqref="AW75:BB75 BP75:BU75 BW75 BD75:BK75 BM75:BN75 BY31:BZ31 AJ71:AU71 AW71:BB71 BP71:BU71 BW71 BD71:BK71 BM71:BN71 AJ67:AU67 AW67:BB67 BP67:BU67 BW67 BD67:BK67 BM67:BN67 BD27:BK27 BM23:BN23 BP23:BT23 BH31:BK31 BM27:BN27 BM39:BN39 BM31:BN31 BH35:BJ35 BD23:BK23 BM35:BN35 AJ35:AT35 AW35:AZ35 AJ27:AU27 AJ31:AU31 AW31:AZ31 BB35 AW27:BB27 BB31 BD35:BF35 BD31:BF31 AJ39:AT39 AW39:AZ39 BB39 BD39:BF39 BP39:BT39 BP27:BU27 BW27 BP31:BW31 BP35:BW35 BY35:BZ35 AJ75:AU75 AW79:BB79 BP79:BU79 BW79 BD79:BK79 BM79:BN79 AJ79:AU79 BH39:BI39 AG39:AH39 AE79:AH79 AE75:AH75 AE71:AH71 AE67:AH67 AC35:AH35 AC31:AH31 AC39:AE39 Y79:AC79 Y75:AC75 Y71:AC71 Y67:AC67 Y23:BB23 Y27:AH27 Y31:Z31 Y35:Z35 Z39">
    <cfRule type="cellIs" priority="8" dxfId="6" operator="equal" stopIfTrue="1">
      <formula>0</formula>
    </cfRule>
    <cfRule type="cellIs" priority="9" dxfId="7" operator="equal" stopIfTrue="1">
      <formula>1</formula>
    </cfRule>
    <cfRule type="cellIs" priority="10" dxfId="5" operator="equal" stopIfTrue="1">
      <formula>2</formula>
    </cfRule>
  </conditionalFormatting>
  <conditionalFormatting sqref="AE11:AH11 AE15:AG15 AE19:AG19 AE49:AG49 AE53:AG53 AE57:AG57 AE61:AG61 AE45:AH45 Y45:AC45 Y7:BZ7 Y61:AB61 Y57:AB57 Y49:AB49 Y53:AB53">
    <cfRule type="cellIs" priority="11" dxfId="6" operator="equal" stopIfTrue="1">
      <formula>0</formula>
    </cfRule>
    <cfRule type="cellIs" priority="12" dxfId="3" operator="equal" stopIfTrue="1">
      <formula>1</formula>
    </cfRule>
  </conditionalFormatting>
  <conditionalFormatting sqref="BP11:BR11 BV11 BX11 BT11 AI11:BK11 BZ11 BM11:BN11 BV15 BX15 BT15 BZ15 BM15:BN15 BP15:BR15 BT19 BZ19 BM19:BN19 BP19:BR19 AH15:BK15 AH19:BK19 BV19:BX19 BV49 BX49 BT49 BZ49 BM49:BN49 BP49:BR49 AH49:BK49 BV53 BX53 BT53 BZ53 BM53:BN53 BP53:BR53 AH53:BK53 BV57 BX57 BT57 BZ57 BM57:BN57 BP57:BR57 AH57:BK57 BV61 BX61 BT61 BZ61 BM61:BN61 BP61:BR61 AH61:BK61 BP45:BR45 BV45 BX45 BT45 AI45:BK45 BZ45 BM45:BN45 AD45 AC49:AD49 AC53:AD53 AC57:AD57 AC61:AD61 Y11:AD11 Y15:AD15 Y19:AD19">
    <cfRule type="cellIs" priority="13" dxfId="6" operator="equal" stopIfTrue="1">
      <formula>0</formula>
    </cfRule>
    <cfRule type="cellIs" priority="14" dxfId="8" operator="equal" stopIfTrue="1">
      <formula>1</formula>
    </cfRule>
    <cfRule type="cellIs" priority="15" dxfId="5" operator="equal" stopIfTrue="1">
      <formula>2</formula>
    </cfRule>
  </conditionalFormatting>
  <conditionalFormatting sqref="F35">
    <cfRule type="cellIs" priority="16" dxfId="5" operator="greaterThan" stopIfTrue="1">
      <formula>120</formula>
    </cfRule>
  </conditionalFormatting>
  <conditionalFormatting sqref="F31">
    <cfRule type="cellIs" priority="17" dxfId="5" operator="greaterThan" stopIfTrue="1">
      <formula>100</formula>
    </cfRule>
  </conditionalFormatting>
  <conditionalFormatting sqref="F27 F23 F19">
    <cfRule type="cellIs" priority="18" dxfId="5" operator="greaterThan" stopIfTrue="1">
      <formula>60</formula>
    </cfRule>
  </conditionalFormatting>
  <conditionalFormatting sqref="F7">
    <cfRule type="cellIs" priority="19" dxfId="5" operator="greaterThan" stopIfTrue="1">
      <formula>32</formula>
    </cfRule>
  </conditionalFormatting>
  <conditionalFormatting sqref="F11">
    <cfRule type="cellIs" priority="20" dxfId="5" operator="greaterThan" stopIfTrue="1">
      <formula>40</formula>
    </cfRule>
  </conditionalFormatting>
  <conditionalFormatting sqref="F39">
    <cfRule type="cellIs" priority="21" dxfId="5" operator="greaterThan" stopIfTrue="1">
      <formula>180</formula>
    </cfRule>
  </conditionalFormatting>
  <conditionalFormatting sqref="F15">
    <cfRule type="cellIs" priority="22" dxfId="5" operator="greaterThan" stopIfTrue="1">
      <formula>48</formula>
    </cfRule>
  </conditionalFormatting>
  <hyperlinks>
    <hyperlink ref="B7" r:id="rId1" display="ET-江"/>
    <hyperlink ref="B11" r:id="rId2" display="ET-江"/>
    <hyperlink ref="B23" r:id="rId3" display="ET-江"/>
    <hyperlink ref="B15" r:id="rId4" display="ET-江"/>
    <hyperlink ref="B19" r:id="rId5" display="ET-江"/>
  </hyperlinks>
  <printOptions/>
  <pageMargins left="0.75" right="0.75" top="1" bottom="1" header="0.5" footer="0.5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User</dc:creator>
  <cp:keywords/>
  <dc:description/>
  <cp:lastModifiedBy>Test User</cp:lastModifiedBy>
  <dcterms:created xsi:type="dcterms:W3CDTF">2012-09-22T11:39:42Z</dcterms:created>
  <dcterms:modified xsi:type="dcterms:W3CDTF">2012-10-02T13:46:20Z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